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<sst xmlns="http://schemas.openxmlformats.org/spreadsheetml/2006/main" count="301" uniqueCount="134">
  <si>
    <r>
      <t>F</t>
    </r>
    <r>
      <rPr>
        <vertAlign val="subscript"/>
        <sz val="10"/>
        <rFont val="Arial CE"/>
        <family val="2"/>
      </rPr>
      <t>1</t>
    </r>
  </si>
  <si>
    <r>
      <t>q</t>
    </r>
    <r>
      <rPr>
        <vertAlign val="subscript"/>
        <sz val="10"/>
        <rFont val="Arial CE"/>
        <family val="2"/>
      </rPr>
      <t>1</t>
    </r>
  </si>
  <si>
    <r>
      <t>F</t>
    </r>
    <r>
      <rPr>
        <vertAlign val="subscript"/>
        <sz val="10"/>
        <rFont val="Arial CE"/>
        <family val="2"/>
      </rPr>
      <t>2</t>
    </r>
  </si>
  <si>
    <r>
      <t>q</t>
    </r>
    <r>
      <rPr>
        <vertAlign val="subscript"/>
        <sz val="10"/>
        <rFont val="Arial CE"/>
        <family val="2"/>
      </rPr>
      <t>2</t>
    </r>
  </si>
  <si>
    <r>
      <t>q</t>
    </r>
    <r>
      <rPr>
        <vertAlign val="subscript"/>
        <sz val="10"/>
        <rFont val="Arial CE"/>
        <family val="2"/>
      </rPr>
      <t>3</t>
    </r>
  </si>
  <si>
    <r>
      <t>F</t>
    </r>
    <r>
      <rPr>
        <vertAlign val="subscript"/>
        <sz val="10"/>
        <rFont val="Arial CE"/>
        <family val="2"/>
      </rPr>
      <t>3</t>
    </r>
  </si>
  <si>
    <t>a</t>
  </si>
  <si>
    <t>L/2</t>
  </si>
  <si>
    <t>b</t>
  </si>
  <si>
    <t>a=</t>
  </si>
  <si>
    <t>L=</t>
  </si>
  <si>
    <t>b=</t>
  </si>
  <si>
    <r>
      <t>F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0"/>
      </rPr>
      <t xml:space="preserve"> =</t>
    </r>
  </si>
  <si>
    <r>
      <t>F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 xml:space="preserve"> =</t>
    </r>
  </si>
  <si>
    <r>
      <t>F</t>
    </r>
    <r>
      <rPr>
        <vertAlign val="subscript"/>
        <sz val="10"/>
        <rFont val="Arial CE"/>
        <family val="2"/>
      </rPr>
      <t>3</t>
    </r>
    <r>
      <rPr>
        <sz val="10"/>
        <rFont val="Arial CE"/>
        <family val="0"/>
      </rPr>
      <t xml:space="preserve"> =</t>
    </r>
  </si>
  <si>
    <r>
      <t>q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0"/>
      </rPr>
      <t xml:space="preserve"> =</t>
    </r>
  </si>
  <si>
    <r>
      <t>q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 xml:space="preserve"> =</t>
    </r>
  </si>
  <si>
    <r>
      <t>q</t>
    </r>
    <r>
      <rPr>
        <vertAlign val="subscript"/>
        <sz val="10"/>
        <rFont val="Arial CE"/>
        <family val="2"/>
      </rPr>
      <t>3</t>
    </r>
    <r>
      <rPr>
        <sz val="10"/>
        <rFont val="Arial CE"/>
        <family val="0"/>
      </rPr>
      <t xml:space="preserve"> =</t>
    </r>
  </si>
  <si>
    <t>A</t>
  </si>
  <si>
    <t>B</t>
  </si>
  <si>
    <t>K</t>
  </si>
  <si>
    <r>
      <t>M</t>
    </r>
    <r>
      <rPr>
        <vertAlign val="subscript"/>
        <sz val="10"/>
        <rFont val="Arial CE"/>
        <family val="2"/>
      </rPr>
      <t>2</t>
    </r>
  </si>
  <si>
    <r>
      <t>M</t>
    </r>
    <r>
      <rPr>
        <vertAlign val="subscript"/>
        <sz val="10"/>
        <rFont val="Arial CE"/>
        <family val="2"/>
      </rPr>
      <t>1</t>
    </r>
  </si>
  <si>
    <r>
      <t>M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0"/>
      </rPr>
      <t xml:space="preserve"> =</t>
    </r>
  </si>
  <si>
    <r>
      <t>M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 xml:space="preserve"> =</t>
    </r>
  </si>
  <si>
    <r>
      <t>q</t>
    </r>
    <r>
      <rPr>
        <sz val="10"/>
        <rFont val="Arial CE"/>
        <family val="0"/>
      </rPr>
      <t xml:space="preserve"> </t>
    </r>
    <r>
      <rPr>
        <vertAlign val="subscript"/>
        <sz val="10"/>
        <rFont val="Arial CE"/>
        <family val="2"/>
      </rPr>
      <t>1-A</t>
    </r>
  </si>
  <si>
    <r>
      <t>q</t>
    </r>
    <r>
      <rPr>
        <sz val="10"/>
        <rFont val="Arial CE"/>
        <family val="0"/>
      </rPr>
      <t xml:space="preserve"> </t>
    </r>
    <r>
      <rPr>
        <vertAlign val="subscript"/>
        <sz val="10"/>
        <rFont val="Arial CE"/>
        <family val="2"/>
      </rPr>
      <t>A-K</t>
    </r>
  </si>
  <si>
    <r>
      <t>q</t>
    </r>
    <r>
      <rPr>
        <sz val="10"/>
        <rFont val="Arial CE"/>
        <family val="0"/>
      </rPr>
      <t xml:space="preserve"> </t>
    </r>
    <r>
      <rPr>
        <vertAlign val="subscript"/>
        <sz val="10"/>
        <rFont val="Arial CE"/>
        <family val="2"/>
      </rPr>
      <t>K-B</t>
    </r>
  </si>
  <si>
    <r>
      <t>q</t>
    </r>
    <r>
      <rPr>
        <sz val="10"/>
        <rFont val="Arial CE"/>
        <family val="0"/>
      </rPr>
      <t xml:space="preserve"> </t>
    </r>
    <r>
      <rPr>
        <vertAlign val="subscript"/>
        <sz val="10"/>
        <rFont val="Arial CE"/>
        <family val="2"/>
      </rPr>
      <t>B-2</t>
    </r>
  </si>
  <si>
    <r>
      <t>q</t>
    </r>
    <r>
      <rPr>
        <sz val="10"/>
        <rFont val="Arial CE"/>
        <family val="0"/>
      </rPr>
      <t xml:space="preserve"> </t>
    </r>
    <r>
      <rPr>
        <vertAlign val="subscript"/>
        <sz val="10"/>
        <rFont val="Arial CE"/>
        <family val="2"/>
      </rPr>
      <t>A-B</t>
    </r>
  </si>
  <si>
    <r>
      <t xml:space="preserve">summa </t>
    </r>
    <r>
      <rPr>
        <sz val="10"/>
        <rFont val="Symbol"/>
        <family val="1"/>
      </rPr>
      <t>q</t>
    </r>
    <r>
      <rPr>
        <sz val="10"/>
        <rFont val="Arial CE"/>
        <family val="0"/>
      </rPr>
      <t xml:space="preserve"> talajtól talajig =</t>
    </r>
  </si>
  <si>
    <t>NYOMATÉKOK, RELATÍV ELFORDULÁSOK</t>
  </si>
  <si>
    <r>
      <t xml:space="preserve">KAROK, ELFORDULÁSI KÖZÉPPONTOK </t>
    </r>
    <r>
      <rPr>
        <sz val="10"/>
        <rFont val="Symbol"/>
        <family val="1"/>
      </rPr>
      <t>q</t>
    </r>
    <r>
      <rPr>
        <sz val="10"/>
        <rFont val="Arial CE"/>
        <family val="0"/>
      </rPr>
      <t xml:space="preserve"> 1 B-BŐL</t>
    </r>
  </si>
  <si>
    <r>
      <t xml:space="preserve">k </t>
    </r>
    <r>
      <rPr>
        <sz val="10"/>
        <rFont val="Symbol"/>
        <family val="1"/>
      </rPr>
      <t>q</t>
    </r>
    <r>
      <rPr>
        <sz val="10"/>
        <rFont val="Arial CE"/>
        <family val="0"/>
      </rPr>
      <t xml:space="preserve"> </t>
    </r>
    <r>
      <rPr>
        <vertAlign val="subscript"/>
        <sz val="10"/>
        <rFont val="Arial CE"/>
        <family val="2"/>
      </rPr>
      <t>A-B</t>
    </r>
  </si>
  <si>
    <r>
      <t>k</t>
    </r>
    <r>
      <rPr>
        <sz val="10"/>
        <rFont val="Symbol"/>
        <family val="1"/>
      </rPr>
      <t xml:space="preserve">  q</t>
    </r>
    <r>
      <rPr>
        <sz val="10"/>
        <rFont val="Arial CE"/>
        <family val="0"/>
      </rPr>
      <t xml:space="preserve"> </t>
    </r>
    <r>
      <rPr>
        <vertAlign val="subscript"/>
        <sz val="10"/>
        <rFont val="Arial CE"/>
        <family val="2"/>
      </rPr>
      <t>1-A</t>
    </r>
  </si>
  <si>
    <r>
      <t xml:space="preserve">e </t>
    </r>
    <r>
      <rPr>
        <vertAlign val="subscript"/>
        <sz val="10"/>
        <rFont val="Arial CE"/>
        <family val="2"/>
      </rPr>
      <t>1y</t>
    </r>
  </si>
  <si>
    <r>
      <t xml:space="preserve">e </t>
    </r>
    <r>
      <rPr>
        <vertAlign val="subscript"/>
        <sz val="10"/>
        <rFont val="Arial CE"/>
        <family val="2"/>
      </rPr>
      <t>Ay</t>
    </r>
  </si>
  <si>
    <r>
      <t xml:space="preserve">k </t>
    </r>
    <r>
      <rPr>
        <sz val="10"/>
        <rFont val="Symbol"/>
        <family val="1"/>
      </rPr>
      <t>q</t>
    </r>
    <r>
      <rPr>
        <sz val="10"/>
        <rFont val="Arial CE"/>
        <family val="0"/>
      </rPr>
      <t xml:space="preserve"> </t>
    </r>
    <r>
      <rPr>
        <vertAlign val="subscript"/>
        <sz val="10"/>
        <rFont val="Arial CE"/>
        <family val="2"/>
      </rPr>
      <t>K-B</t>
    </r>
  </si>
  <si>
    <r>
      <t xml:space="preserve">e </t>
    </r>
    <r>
      <rPr>
        <vertAlign val="subscript"/>
        <sz val="10"/>
        <rFont val="Arial CE"/>
        <family val="2"/>
      </rPr>
      <t>Ky</t>
    </r>
  </si>
  <si>
    <r>
      <t xml:space="preserve">k </t>
    </r>
    <r>
      <rPr>
        <sz val="10"/>
        <rFont val="Symbol"/>
        <family val="1"/>
      </rPr>
      <t>q</t>
    </r>
    <r>
      <rPr>
        <sz val="10"/>
        <rFont val="Arial CE"/>
        <family val="0"/>
      </rPr>
      <t xml:space="preserve"> </t>
    </r>
    <r>
      <rPr>
        <vertAlign val="subscript"/>
        <sz val="10"/>
        <rFont val="Arial CE"/>
        <family val="2"/>
      </rPr>
      <t>B-2</t>
    </r>
  </si>
  <si>
    <r>
      <t xml:space="preserve">e </t>
    </r>
    <r>
      <rPr>
        <vertAlign val="subscript"/>
        <sz val="10"/>
        <rFont val="Arial CE"/>
        <family val="2"/>
      </rPr>
      <t>2y</t>
    </r>
  </si>
  <si>
    <r>
      <t xml:space="preserve">k </t>
    </r>
    <r>
      <rPr>
        <sz val="10"/>
        <rFont val="Symbol"/>
        <family val="1"/>
      </rPr>
      <t>q</t>
    </r>
    <r>
      <rPr>
        <sz val="10"/>
        <rFont val="Arial CE"/>
        <family val="0"/>
      </rPr>
      <t xml:space="preserve"> </t>
    </r>
    <r>
      <rPr>
        <vertAlign val="subscript"/>
        <sz val="10"/>
        <rFont val="Arial CE"/>
        <family val="2"/>
      </rPr>
      <t>1-A</t>
    </r>
  </si>
  <si>
    <r>
      <t xml:space="preserve">k </t>
    </r>
    <r>
      <rPr>
        <sz val="10"/>
        <rFont val="Symbol"/>
        <family val="1"/>
      </rPr>
      <t>q</t>
    </r>
    <r>
      <rPr>
        <sz val="10"/>
        <rFont val="Arial CE"/>
        <family val="0"/>
      </rPr>
      <t xml:space="preserve"> </t>
    </r>
    <r>
      <rPr>
        <vertAlign val="subscript"/>
        <sz val="10"/>
        <rFont val="Arial CE"/>
        <family val="2"/>
      </rPr>
      <t>A-K</t>
    </r>
  </si>
  <si>
    <r>
      <t xml:space="preserve">e </t>
    </r>
    <r>
      <rPr>
        <vertAlign val="subscript"/>
        <sz val="10"/>
        <rFont val="Arial CE"/>
        <family val="2"/>
      </rPr>
      <t>By</t>
    </r>
  </si>
  <si>
    <r>
      <t>k</t>
    </r>
    <r>
      <rPr>
        <sz val="10"/>
        <rFont val="Symbol"/>
        <family val="1"/>
      </rPr>
      <t xml:space="preserve">  q</t>
    </r>
    <r>
      <rPr>
        <sz val="10"/>
        <rFont val="Arial CE"/>
        <family val="0"/>
      </rPr>
      <t xml:space="preserve"> </t>
    </r>
    <r>
      <rPr>
        <vertAlign val="subscript"/>
        <sz val="10"/>
        <rFont val="Arial CE"/>
        <family val="2"/>
      </rPr>
      <t>B-2</t>
    </r>
  </si>
  <si>
    <r>
      <t xml:space="preserve">e </t>
    </r>
    <r>
      <rPr>
        <vertAlign val="subscript"/>
        <sz val="10"/>
        <rFont val="Arial CE"/>
        <family val="2"/>
      </rPr>
      <t>y</t>
    </r>
  </si>
  <si>
    <t>hely</t>
  </si>
  <si>
    <t>[m]</t>
  </si>
  <si>
    <t>E×J=</t>
  </si>
  <si>
    <r>
      <t>kNm</t>
    </r>
    <r>
      <rPr>
        <vertAlign val="superscript"/>
        <sz val="10"/>
        <rFont val="Arial CE"/>
        <family val="2"/>
      </rPr>
      <t>2</t>
    </r>
  </si>
  <si>
    <r>
      <t>kNm</t>
    </r>
    <r>
      <rPr>
        <vertAlign val="superscript"/>
        <sz val="10"/>
        <rFont val="Arial CE"/>
        <family val="2"/>
      </rPr>
      <t>3</t>
    </r>
  </si>
  <si>
    <t>m</t>
  </si>
  <si>
    <r>
      <t>kNm</t>
    </r>
    <r>
      <rPr>
        <b/>
        <vertAlign val="superscript"/>
        <sz val="10"/>
        <rFont val="Arial CE"/>
        <family val="2"/>
      </rPr>
      <t>2</t>
    </r>
  </si>
  <si>
    <r>
      <t>kNm</t>
    </r>
    <r>
      <rPr>
        <vertAlign val="superscript"/>
        <sz val="10"/>
        <rFont val="Arial CE"/>
        <family val="2"/>
      </rPr>
      <t>3</t>
    </r>
  </si>
  <si>
    <t>kN/m</t>
  </si>
  <si>
    <t>kN</t>
  </si>
  <si>
    <t>kNm</t>
  </si>
  <si>
    <r>
      <t xml:space="preserve">(e </t>
    </r>
    <r>
      <rPr>
        <b/>
        <vertAlign val="subscript"/>
        <sz val="10"/>
        <rFont val="Arial CE"/>
        <family val="2"/>
      </rPr>
      <t>i,y</t>
    </r>
    <r>
      <rPr>
        <b/>
        <sz val="10"/>
        <rFont val="Arial CE"/>
        <family val="2"/>
      </rPr>
      <t>)</t>
    </r>
  </si>
  <si>
    <r>
      <t xml:space="preserve">e </t>
    </r>
    <r>
      <rPr>
        <b/>
        <vertAlign val="subscript"/>
        <sz val="10"/>
        <rFont val="Arial CE"/>
        <family val="2"/>
      </rPr>
      <t>y</t>
    </r>
  </si>
  <si>
    <r>
      <t>(</t>
    </r>
    <r>
      <rPr>
        <b/>
        <sz val="10"/>
        <rFont val="Symbol"/>
        <family val="1"/>
      </rPr>
      <t>f</t>
    </r>
    <r>
      <rPr>
        <b/>
        <sz val="10"/>
        <rFont val="Arial CE"/>
        <family val="0"/>
      </rPr>
      <t xml:space="preserve"> </t>
    </r>
    <r>
      <rPr>
        <b/>
        <vertAlign val="subscript"/>
        <sz val="10"/>
        <rFont val="Arial CE"/>
        <family val="2"/>
      </rPr>
      <t>i</t>
    </r>
    <r>
      <rPr>
        <b/>
        <sz val="10"/>
        <rFont val="Arial CE"/>
        <family val="0"/>
      </rPr>
      <t xml:space="preserve"> )</t>
    </r>
  </si>
  <si>
    <r>
      <t>f</t>
    </r>
    <r>
      <rPr>
        <b/>
        <sz val="10"/>
        <rFont val="Arial CE"/>
        <family val="0"/>
      </rPr>
      <t xml:space="preserve"> </t>
    </r>
    <r>
      <rPr>
        <b/>
        <vertAlign val="subscript"/>
        <sz val="10"/>
        <rFont val="Arial CE"/>
        <family val="2"/>
      </rPr>
      <t>i</t>
    </r>
    <r>
      <rPr>
        <b/>
        <sz val="10"/>
        <rFont val="Arial CE"/>
        <family val="0"/>
      </rPr>
      <t xml:space="preserve"> </t>
    </r>
  </si>
  <si>
    <r>
      <t>(f</t>
    </r>
    <r>
      <rPr>
        <sz val="10"/>
        <rFont val="Arial CE"/>
        <family val="0"/>
      </rPr>
      <t xml:space="preserve"> </t>
    </r>
    <r>
      <rPr>
        <vertAlign val="subscript"/>
        <sz val="10"/>
        <rFont val="Arial CE"/>
        <family val="2"/>
      </rPr>
      <t>A</t>
    </r>
    <r>
      <rPr>
        <sz val="10"/>
        <rFont val="Arial CE"/>
        <family val="0"/>
      </rPr>
      <t>) =</t>
    </r>
  </si>
  <si>
    <r>
      <t>(f</t>
    </r>
    <r>
      <rPr>
        <sz val="10"/>
        <rFont val="Arial CE"/>
        <family val="0"/>
      </rPr>
      <t xml:space="preserve"> </t>
    </r>
    <r>
      <rPr>
        <vertAlign val="subscript"/>
        <sz val="10"/>
        <rFont val="Arial CE"/>
        <family val="2"/>
      </rPr>
      <t>B</t>
    </r>
    <r>
      <rPr>
        <sz val="10"/>
        <rFont val="Arial CE"/>
        <family val="0"/>
      </rPr>
      <t>) =</t>
    </r>
  </si>
  <si>
    <t>Határozza meg a bejelölt elmozdulás-összetevőket!</t>
  </si>
  <si>
    <t>Akarja látni a támaszelfordulások értékét?</t>
  </si>
  <si>
    <t>nem</t>
  </si>
  <si>
    <t>Akarja látni az elmozdulások értékeit? Írja át a "nem"-eket "igen"-ekre!</t>
  </si>
  <si>
    <t>L</t>
  </si>
  <si>
    <r>
      <t>q</t>
    </r>
    <r>
      <rPr>
        <vertAlign val="subscript"/>
        <sz val="10"/>
        <rFont val="Arial CE"/>
        <family val="2"/>
      </rPr>
      <t>2</t>
    </r>
  </si>
  <si>
    <r>
      <t>q</t>
    </r>
    <r>
      <rPr>
        <vertAlign val="subscript"/>
        <sz val="10"/>
        <rFont val="Arial CE"/>
        <family val="2"/>
      </rPr>
      <t>3</t>
    </r>
  </si>
  <si>
    <r>
      <t>F</t>
    </r>
    <r>
      <rPr>
        <vertAlign val="subscript"/>
        <sz val="10"/>
        <rFont val="Arial CE"/>
        <family val="2"/>
      </rPr>
      <t>2</t>
    </r>
  </si>
  <si>
    <t>C</t>
  </si>
  <si>
    <r>
      <t>M</t>
    </r>
    <r>
      <rPr>
        <vertAlign val="subscript"/>
        <sz val="10"/>
        <rFont val="Arial CE"/>
        <family val="2"/>
      </rPr>
      <t>Bb</t>
    </r>
  </si>
  <si>
    <r>
      <t>M</t>
    </r>
    <r>
      <rPr>
        <vertAlign val="subscript"/>
        <sz val="10"/>
        <rFont val="Arial CE"/>
        <family val="2"/>
      </rPr>
      <t>Bj</t>
    </r>
  </si>
  <si>
    <r>
      <t>M</t>
    </r>
    <r>
      <rPr>
        <vertAlign val="subscript"/>
        <sz val="10"/>
        <rFont val="Arial CE"/>
        <family val="2"/>
      </rPr>
      <t>V</t>
    </r>
  </si>
  <si>
    <t>V</t>
  </si>
  <si>
    <t>M</t>
  </si>
  <si>
    <r>
      <t>M</t>
    </r>
    <r>
      <rPr>
        <vertAlign val="subscript"/>
        <sz val="10"/>
        <rFont val="Arial CE"/>
        <family val="2"/>
      </rPr>
      <t>Bb</t>
    </r>
    <r>
      <rPr>
        <sz val="10"/>
        <rFont val="Arial CE"/>
        <family val="0"/>
      </rPr>
      <t xml:space="preserve"> =</t>
    </r>
  </si>
  <si>
    <r>
      <t>M</t>
    </r>
    <r>
      <rPr>
        <vertAlign val="subscript"/>
        <sz val="10"/>
        <rFont val="Arial CE"/>
        <family val="2"/>
      </rPr>
      <t>Bj</t>
    </r>
    <r>
      <rPr>
        <sz val="10"/>
        <rFont val="Arial CE"/>
        <family val="0"/>
      </rPr>
      <t xml:space="preserve"> =</t>
    </r>
  </si>
  <si>
    <r>
      <t>M</t>
    </r>
    <r>
      <rPr>
        <vertAlign val="subscript"/>
        <sz val="10"/>
        <rFont val="Arial CE"/>
        <family val="2"/>
      </rPr>
      <t>V</t>
    </r>
    <r>
      <rPr>
        <sz val="10"/>
        <rFont val="Arial CE"/>
        <family val="0"/>
      </rPr>
      <t xml:space="preserve"> =</t>
    </r>
  </si>
  <si>
    <t>THETA</t>
  </si>
  <si>
    <t>A-B</t>
  </si>
  <si>
    <t>B-C</t>
  </si>
  <si>
    <t>C-V</t>
  </si>
  <si>
    <t>FOKSZÁM</t>
  </si>
  <si>
    <t>kar B</t>
  </si>
  <si>
    <t>kar V</t>
  </si>
  <si>
    <t>kar C</t>
  </si>
  <si>
    <r>
      <t>f</t>
    </r>
    <r>
      <rPr>
        <sz val="10"/>
        <rFont val="Arial CE"/>
        <family val="0"/>
      </rPr>
      <t xml:space="preserve"> </t>
    </r>
    <r>
      <rPr>
        <vertAlign val="subscript"/>
        <sz val="10"/>
        <rFont val="Arial CE"/>
        <family val="2"/>
      </rPr>
      <t>I, bal</t>
    </r>
  </si>
  <si>
    <r>
      <t>f</t>
    </r>
    <r>
      <rPr>
        <sz val="10"/>
        <rFont val="Arial CE"/>
        <family val="0"/>
      </rPr>
      <t xml:space="preserve"> </t>
    </r>
    <r>
      <rPr>
        <vertAlign val="subscript"/>
        <sz val="10"/>
        <rFont val="Arial CE"/>
        <family val="2"/>
      </rPr>
      <t>I, jobb</t>
    </r>
  </si>
  <si>
    <r>
      <t>q</t>
    </r>
    <r>
      <rPr>
        <sz val="10"/>
        <rFont val="Arial CE"/>
        <family val="0"/>
      </rPr>
      <t xml:space="preserve"> </t>
    </r>
    <r>
      <rPr>
        <vertAlign val="subscript"/>
        <sz val="10"/>
        <rFont val="Arial CE"/>
        <family val="2"/>
      </rPr>
      <t>B</t>
    </r>
  </si>
  <si>
    <r>
      <t>e</t>
    </r>
    <r>
      <rPr>
        <vertAlign val="subscript"/>
        <sz val="10"/>
        <rFont val="Arial CE"/>
        <family val="2"/>
      </rPr>
      <t>y</t>
    </r>
  </si>
  <si>
    <r>
      <t xml:space="preserve">ey </t>
    </r>
    <r>
      <rPr>
        <sz val="10"/>
        <rFont val="Symbol"/>
        <family val="1"/>
      </rPr>
      <t>- f</t>
    </r>
  </si>
  <si>
    <r>
      <t>f</t>
    </r>
    <r>
      <rPr>
        <sz val="10"/>
        <rFont val="Arial CE"/>
        <family val="0"/>
      </rPr>
      <t xml:space="preserve"> </t>
    </r>
    <r>
      <rPr>
        <vertAlign val="subscript"/>
        <sz val="10"/>
        <rFont val="Arial CE"/>
        <family val="2"/>
      </rPr>
      <t>I, bal</t>
    </r>
  </si>
  <si>
    <r>
      <t>f</t>
    </r>
    <r>
      <rPr>
        <sz val="10"/>
        <rFont val="Arial CE"/>
        <family val="0"/>
      </rPr>
      <t xml:space="preserve"> </t>
    </r>
    <r>
      <rPr>
        <vertAlign val="subscript"/>
        <sz val="10"/>
        <rFont val="Arial CE"/>
        <family val="2"/>
      </rPr>
      <t>I, jobb</t>
    </r>
  </si>
  <si>
    <r>
      <t>q</t>
    </r>
    <r>
      <rPr>
        <sz val="10"/>
        <rFont val="Arial CE"/>
        <family val="0"/>
      </rPr>
      <t xml:space="preserve"> </t>
    </r>
    <r>
      <rPr>
        <vertAlign val="subscript"/>
        <sz val="10"/>
        <rFont val="Arial CE"/>
        <family val="2"/>
      </rPr>
      <t>B</t>
    </r>
  </si>
  <si>
    <t>Akarja látni az elmozdulások értékeit?                          Írja át a "nem"-eket "igen"-ekre!</t>
  </si>
  <si>
    <r>
      <t>(e</t>
    </r>
    <r>
      <rPr>
        <vertAlign val="subscript"/>
        <sz val="10"/>
        <rFont val="Arial CE"/>
        <family val="2"/>
      </rPr>
      <t>y</t>
    </r>
    <r>
      <rPr>
        <sz val="10"/>
        <rFont val="Arial CE"/>
        <family val="0"/>
      </rPr>
      <t>)</t>
    </r>
  </si>
  <si>
    <r>
      <t>(f</t>
    </r>
    <r>
      <rPr>
        <sz val="10"/>
        <rFont val="Arial CE"/>
        <family val="0"/>
      </rPr>
      <t xml:space="preserve"> </t>
    </r>
    <r>
      <rPr>
        <vertAlign val="subscript"/>
        <sz val="10"/>
        <rFont val="Arial CE"/>
        <family val="2"/>
      </rPr>
      <t>I, bal</t>
    </r>
    <r>
      <rPr>
        <sz val="10"/>
        <rFont val="Arial CE"/>
        <family val="2"/>
      </rPr>
      <t>)</t>
    </r>
  </si>
  <si>
    <r>
      <t>(f</t>
    </r>
    <r>
      <rPr>
        <sz val="10"/>
        <rFont val="Arial CE"/>
        <family val="0"/>
      </rPr>
      <t xml:space="preserve"> </t>
    </r>
    <r>
      <rPr>
        <vertAlign val="subscript"/>
        <sz val="10"/>
        <rFont val="Arial CE"/>
        <family val="2"/>
      </rPr>
      <t>I, jobb</t>
    </r>
    <r>
      <rPr>
        <sz val="10"/>
        <rFont val="Arial CE"/>
        <family val="2"/>
      </rPr>
      <t>)</t>
    </r>
  </si>
  <si>
    <r>
      <t>(q</t>
    </r>
    <r>
      <rPr>
        <sz val="10"/>
        <rFont val="Arial CE"/>
        <family val="0"/>
      </rPr>
      <t xml:space="preserve"> </t>
    </r>
    <r>
      <rPr>
        <vertAlign val="subscript"/>
        <sz val="10"/>
        <rFont val="Arial CE"/>
        <family val="2"/>
      </rPr>
      <t>B</t>
    </r>
    <r>
      <rPr>
        <sz val="10"/>
        <rFont val="Arial CE"/>
        <family val="2"/>
      </rPr>
      <t>)</t>
    </r>
  </si>
  <si>
    <t>h</t>
  </si>
  <si>
    <t>h=</t>
  </si>
  <si>
    <t>D</t>
  </si>
  <si>
    <t>A-C</t>
  </si>
  <si>
    <t>C-D</t>
  </si>
  <si>
    <t>D-B</t>
  </si>
  <si>
    <t>C-K</t>
  </si>
  <si>
    <t xml:space="preserve">K-D </t>
  </si>
  <si>
    <t>igen</t>
  </si>
  <si>
    <t>mm</t>
  </si>
  <si>
    <r>
      <t xml:space="preserve">e </t>
    </r>
    <r>
      <rPr>
        <vertAlign val="subscript"/>
        <sz val="10"/>
        <rFont val="Arial CE"/>
        <family val="2"/>
      </rPr>
      <t>B,y</t>
    </r>
  </si>
  <si>
    <r>
      <t xml:space="preserve">e </t>
    </r>
    <r>
      <rPr>
        <vertAlign val="subscript"/>
        <sz val="10"/>
        <rFont val="Arial CE"/>
        <family val="2"/>
      </rPr>
      <t>C-D,x</t>
    </r>
  </si>
  <si>
    <r>
      <t xml:space="preserve">e </t>
    </r>
    <r>
      <rPr>
        <vertAlign val="subscript"/>
        <sz val="10"/>
        <rFont val="Arial CE"/>
        <family val="2"/>
      </rPr>
      <t>K,y</t>
    </r>
  </si>
  <si>
    <r>
      <t xml:space="preserve">e </t>
    </r>
    <r>
      <rPr>
        <vertAlign val="subscript"/>
        <sz val="10"/>
        <rFont val="Arial CE"/>
        <family val="2"/>
      </rPr>
      <t>B,x</t>
    </r>
  </si>
  <si>
    <r>
      <t>f</t>
    </r>
    <r>
      <rPr>
        <b/>
        <sz val="10"/>
        <rFont val="Arial CE"/>
        <family val="0"/>
      </rPr>
      <t xml:space="preserve"> </t>
    </r>
    <r>
      <rPr>
        <b/>
        <vertAlign val="subscript"/>
        <sz val="10"/>
        <rFont val="Arial CE"/>
        <family val="2"/>
      </rPr>
      <t>A</t>
    </r>
  </si>
  <si>
    <r>
      <t xml:space="preserve">e </t>
    </r>
    <r>
      <rPr>
        <b/>
        <vertAlign val="subscript"/>
        <sz val="10"/>
        <rFont val="Arial CE"/>
        <family val="2"/>
      </rPr>
      <t>K,y</t>
    </r>
  </si>
  <si>
    <r>
      <t xml:space="preserve">e </t>
    </r>
    <r>
      <rPr>
        <b/>
        <vertAlign val="subscript"/>
        <sz val="10"/>
        <rFont val="Arial CE"/>
        <family val="2"/>
      </rPr>
      <t>B,x</t>
    </r>
  </si>
  <si>
    <r>
      <t>(</t>
    </r>
    <r>
      <rPr>
        <sz val="10"/>
        <rFont val="Symbol"/>
        <family val="1"/>
      </rPr>
      <t xml:space="preserve">f </t>
    </r>
    <r>
      <rPr>
        <vertAlign val="subscript"/>
        <sz val="10"/>
        <rFont val="Arial CE"/>
        <family val="2"/>
      </rPr>
      <t>A</t>
    </r>
    <r>
      <rPr>
        <sz val="10"/>
        <rFont val="Arial CE"/>
        <family val="0"/>
      </rPr>
      <t>)=</t>
    </r>
  </si>
  <si>
    <r>
      <t>(</t>
    </r>
    <r>
      <rPr>
        <sz val="10"/>
        <rFont val="Symbol"/>
        <family val="1"/>
      </rPr>
      <t xml:space="preserve">f </t>
    </r>
    <r>
      <rPr>
        <vertAlign val="subscript"/>
        <sz val="10"/>
        <rFont val="Arial CE"/>
        <family val="2"/>
      </rPr>
      <t>B</t>
    </r>
    <r>
      <rPr>
        <sz val="10"/>
        <rFont val="Arial CE"/>
        <family val="0"/>
      </rPr>
      <t>)=</t>
    </r>
  </si>
  <si>
    <r>
      <t xml:space="preserve">f </t>
    </r>
    <r>
      <rPr>
        <vertAlign val="subscript"/>
        <sz val="10"/>
        <rFont val="Arial CE"/>
        <family val="2"/>
      </rPr>
      <t xml:space="preserve">A </t>
    </r>
    <r>
      <rPr>
        <sz val="10"/>
        <rFont val="Arial CE"/>
        <family val="0"/>
      </rPr>
      <t>=</t>
    </r>
  </si>
  <si>
    <r>
      <t xml:space="preserve">f </t>
    </r>
    <r>
      <rPr>
        <vertAlign val="subscript"/>
        <sz val="10"/>
        <rFont val="Arial CE"/>
        <family val="2"/>
      </rPr>
      <t>B</t>
    </r>
    <r>
      <rPr>
        <sz val="10"/>
        <rFont val="Arial CE"/>
        <family val="0"/>
      </rPr>
      <t xml:space="preserve"> =</t>
    </r>
  </si>
  <si>
    <r>
      <t>(</t>
    </r>
    <r>
      <rPr>
        <sz val="10"/>
        <rFont val="Arial CE"/>
        <family val="2"/>
      </rPr>
      <t>e</t>
    </r>
    <r>
      <rPr>
        <vertAlign val="subscript"/>
        <sz val="10"/>
        <rFont val="Arial CE"/>
        <family val="2"/>
      </rPr>
      <t>C,x</t>
    </r>
    <r>
      <rPr>
        <sz val="10"/>
        <rFont val="Arial CE"/>
        <family val="0"/>
      </rPr>
      <t>)=</t>
    </r>
  </si>
  <si>
    <r>
      <t>(</t>
    </r>
    <r>
      <rPr>
        <sz val="10"/>
        <rFont val="Arial CE"/>
        <family val="2"/>
      </rPr>
      <t>e</t>
    </r>
    <r>
      <rPr>
        <vertAlign val="subscript"/>
        <sz val="10"/>
        <rFont val="Arial CE"/>
        <family val="2"/>
      </rPr>
      <t>B,x</t>
    </r>
    <r>
      <rPr>
        <sz val="10"/>
        <rFont val="Arial CE"/>
        <family val="0"/>
      </rPr>
      <t>)=</t>
    </r>
  </si>
  <si>
    <r>
      <t>(</t>
    </r>
    <r>
      <rPr>
        <sz val="10"/>
        <rFont val="Arial CE"/>
        <family val="2"/>
      </rPr>
      <t>e</t>
    </r>
    <r>
      <rPr>
        <vertAlign val="subscript"/>
        <sz val="10"/>
        <rFont val="Arial CE"/>
        <family val="2"/>
      </rPr>
      <t>K,y</t>
    </r>
    <r>
      <rPr>
        <sz val="10"/>
        <rFont val="Arial CE"/>
        <family val="0"/>
      </rPr>
      <t>)=</t>
    </r>
  </si>
  <si>
    <r>
      <t>(</t>
    </r>
    <r>
      <rPr>
        <sz val="10"/>
        <rFont val="Symbol"/>
        <family val="1"/>
      </rPr>
      <t xml:space="preserve">f </t>
    </r>
    <r>
      <rPr>
        <vertAlign val="subscript"/>
        <sz val="10"/>
        <rFont val="Arial CE"/>
        <family val="2"/>
      </rPr>
      <t>C</t>
    </r>
    <r>
      <rPr>
        <sz val="10"/>
        <rFont val="Arial CE"/>
        <family val="0"/>
      </rPr>
      <t>)=</t>
    </r>
  </si>
  <si>
    <r>
      <t>(</t>
    </r>
    <r>
      <rPr>
        <sz val="10"/>
        <rFont val="Symbol"/>
        <family val="1"/>
      </rPr>
      <t xml:space="preserve">f </t>
    </r>
    <r>
      <rPr>
        <vertAlign val="subscript"/>
        <sz val="10"/>
        <rFont val="Arial CE"/>
        <family val="2"/>
      </rPr>
      <t>K</t>
    </r>
    <r>
      <rPr>
        <sz val="10"/>
        <rFont val="Arial CE"/>
        <family val="0"/>
      </rPr>
      <t>)=</t>
    </r>
  </si>
  <si>
    <r>
      <t>(</t>
    </r>
    <r>
      <rPr>
        <sz val="10"/>
        <rFont val="Symbol"/>
        <family val="1"/>
      </rPr>
      <t xml:space="preserve">f </t>
    </r>
    <r>
      <rPr>
        <vertAlign val="subscript"/>
        <sz val="10"/>
        <rFont val="Arial CE"/>
        <family val="2"/>
      </rPr>
      <t>D</t>
    </r>
    <r>
      <rPr>
        <sz val="10"/>
        <rFont val="Arial CE"/>
        <family val="0"/>
      </rPr>
      <t>)=</t>
    </r>
  </si>
  <si>
    <r>
      <t>e</t>
    </r>
    <r>
      <rPr>
        <vertAlign val="subscript"/>
        <sz val="10"/>
        <rFont val="Arial CE"/>
        <family val="2"/>
      </rPr>
      <t xml:space="preserve">C,x </t>
    </r>
    <r>
      <rPr>
        <sz val="10"/>
        <rFont val="Arial CE"/>
        <family val="0"/>
      </rPr>
      <t>=</t>
    </r>
  </si>
  <si>
    <r>
      <t>e</t>
    </r>
    <r>
      <rPr>
        <vertAlign val="subscript"/>
        <sz val="10"/>
        <rFont val="Arial CE"/>
        <family val="2"/>
      </rPr>
      <t xml:space="preserve">K,y </t>
    </r>
    <r>
      <rPr>
        <sz val="10"/>
        <rFont val="Arial CE"/>
        <family val="0"/>
      </rPr>
      <t>=</t>
    </r>
  </si>
  <si>
    <r>
      <t>e</t>
    </r>
    <r>
      <rPr>
        <vertAlign val="subscript"/>
        <sz val="10"/>
        <rFont val="Arial CE"/>
        <family val="2"/>
      </rPr>
      <t xml:space="preserve">B,x </t>
    </r>
    <r>
      <rPr>
        <sz val="10"/>
        <rFont val="Arial CE"/>
        <family val="0"/>
      </rPr>
      <t>=</t>
    </r>
  </si>
  <si>
    <r>
      <t xml:space="preserve">f </t>
    </r>
    <r>
      <rPr>
        <vertAlign val="subscript"/>
        <sz val="10"/>
        <rFont val="Arial CE"/>
        <family val="2"/>
      </rPr>
      <t xml:space="preserve">C </t>
    </r>
    <r>
      <rPr>
        <sz val="10"/>
        <rFont val="Arial CE"/>
        <family val="0"/>
      </rPr>
      <t>=</t>
    </r>
  </si>
  <si>
    <r>
      <t xml:space="preserve">f </t>
    </r>
    <r>
      <rPr>
        <vertAlign val="subscript"/>
        <sz val="10"/>
        <rFont val="Arial CE"/>
        <family val="2"/>
      </rPr>
      <t>K</t>
    </r>
    <r>
      <rPr>
        <sz val="10"/>
        <rFont val="Arial CE"/>
        <family val="0"/>
      </rPr>
      <t xml:space="preserve"> =</t>
    </r>
  </si>
  <si>
    <r>
      <t xml:space="preserve">f </t>
    </r>
    <r>
      <rPr>
        <vertAlign val="subscript"/>
        <sz val="10"/>
        <rFont val="Arial CE"/>
        <family val="2"/>
      </rPr>
      <t xml:space="preserve">D </t>
    </r>
    <r>
      <rPr>
        <sz val="10"/>
        <rFont val="Arial CE"/>
        <family val="0"/>
      </rPr>
      <t>=</t>
    </r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</si>
</sst>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E+00"/>
    <numFmt numFmtId="165" formatCode="0.0E+00"/>
    <numFmt numFmtId="166" formatCode="0E+00"/>
    <numFmt numFmtId="167" formatCode="0.0"/>
    <numFmt numFmtId="168" formatCode="0.000"/>
  </numFmts>
  <fonts count="11">
    <font>
      <sz val="10"/>
      <name val="Arial CE"/>
      <family val="0"/>
    </font>
    <font>
      <vertAlign val="subscript"/>
      <sz val="10"/>
      <name val="Arial CE"/>
      <family val="2"/>
    </font>
    <font>
      <b/>
      <sz val="10"/>
      <name val="Arial CE"/>
      <family val="2"/>
    </font>
    <font>
      <sz val="10"/>
      <name val="Symbol"/>
      <family val="1"/>
    </font>
    <font>
      <vertAlign val="superscript"/>
      <sz val="10"/>
      <name val="Arial CE"/>
      <family val="2"/>
    </font>
    <font>
      <b/>
      <vertAlign val="superscript"/>
      <sz val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Alignment="1">
      <alignment horizontal="left"/>
    </xf>
    <xf numFmtId="0" fontId="10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11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165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7" fontId="10" fillId="0" borderId="4" xfId="0" applyNumberFormat="1" applyFont="1" applyBorder="1" applyAlignment="1">
      <alignment horizontal="center"/>
    </xf>
    <xf numFmtId="167" fontId="10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68" fontId="10" fillId="0" borderId="4" xfId="0" applyNumberFormat="1" applyFont="1" applyBorder="1" applyAlignment="1">
      <alignment horizontal="center"/>
    </xf>
    <xf numFmtId="168" fontId="10" fillId="0" borderId="2" xfId="0" applyNumberFormat="1" applyFont="1" applyBorder="1" applyAlignment="1">
      <alignment horizontal="center"/>
    </xf>
    <xf numFmtId="11" fontId="10" fillId="0" borderId="1" xfId="0" applyNumberFormat="1" applyFont="1" applyBorder="1" applyAlignment="1">
      <alignment horizontal="center"/>
    </xf>
    <xf numFmtId="11" fontId="10" fillId="0" borderId="4" xfId="0" applyNumberFormat="1" applyFont="1" applyBorder="1" applyAlignment="1">
      <alignment horizontal="center"/>
    </xf>
    <xf numFmtId="11" fontId="10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6" xfId="0" applyBorder="1" applyAlignment="1" applyProtection="1">
      <alignment wrapText="1"/>
      <protection/>
    </xf>
    <xf numFmtId="0" fontId="0" fillId="0" borderId="7" xfId="0" applyBorder="1" applyAlignment="1" applyProtection="1">
      <alignment wrapText="1"/>
      <protection/>
    </xf>
    <xf numFmtId="0" fontId="0" fillId="0" borderId="8" xfId="0" applyBorder="1" applyAlignment="1" applyProtection="1">
      <alignment wrapText="1"/>
      <protection/>
    </xf>
    <xf numFmtId="0" fontId="0" fillId="0" borderId="9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11" fontId="9" fillId="0" borderId="1" xfId="0" applyNumberFormat="1" applyFont="1" applyBorder="1" applyAlignment="1" applyProtection="1">
      <alignment horizontal="center"/>
      <protection/>
    </xf>
    <xf numFmtId="11" fontId="9" fillId="0" borderId="4" xfId="0" applyNumberFormat="1" applyFont="1" applyBorder="1" applyAlignment="1" applyProtection="1">
      <alignment horizontal="center"/>
      <protection/>
    </xf>
    <xf numFmtId="11" fontId="9" fillId="0" borderId="2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strike val="0"/>
        <color rgb="FFFF0000"/>
      </font>
      <border/>
    </dxf>
    <dxf>
      <font>
        <b/>
        <i val="0"/>
        <color rgb="FF339966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33996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152400</xdr:rowOff>
    </xdr:from>
    <xdr:to>
      <xdr:col>18</xdr:col>
      <xdr:colOff>9525</xdr:colOff>
      <xdr:row>8</xdr:row>
      <xdr:rowOff>57150</xdr:rowOff>
    </xdr:to>
    <xdr:grpSp>
      <xdr:nvGrpSpPr>
        <xdr:cNvPr id="1" name="Group 59"/>
        <xdr:cNvGrpSpPr>
          <a:grpSpLocks/>
        </xdr:cNvGrpSpPr>
      </xdr:nvGrpSpPr>
      <xdr:grpSpPr>
        <a:xfrm>
          <a:off x="190500" y="314325"/>
          <a:ext cx="3590925" cy="1028700"/>
          <a:chOff x="17" y="33"/>
          <a:chExt cx="326" cy="108"/>
        </a:xfrm>
        <a:solidFill>
          <a:srgbClr val="FFFFFF"/>
        </a:solidFill>
      </xdr:grpSpPr>
      <xdr:grpSp>
        <xdr:nvGrpSpPr>
          <xdr:cNvPr id="2" name="Group 56"/>
          <xdr:cNvGrpSpPr>
            <a:grpSpLocks/>
          </xdr:cNvGrpSpPr>
        </xdr:nvGrpSpPr>
        <xdr:grpSpPr>
          <a:xfrm>
            <a:off x="17" y="33"/>
            <a:ext cx="326" cy="67"/>
            <a:chOff x="17" y="33"/>
            <a:chExt cx="326" cy="67"/>
          </a:xfrm>
          <a:solidFill>
            <a:srgbClr val="FFFFFF"/>
          </a:solidFill>
        </xdr:grpSpPr>
        <xdr:grpSp>
          <xdr:nvGrpSpPr>
            <xdr:cNvPr id="3" name="Group 27"/>
            <xdr:cNvGrpSpPr>
              <a:grpSpLocks/>
            </xdr:cNvGrpSpPr>
          </xdr:nvGrpSpPr>
          <xdr:grpSpPr>
            <a:xfrm>
              <a:off x="87" y="65"/>
              <a:ext cx="168" cy="18"/>
              <a:chOff x="89" y="102"/>
              <a:chExt cx="166" cy="17"/>
            </a:xfrm>
            <a:solidFill>
              <a:srgbClr val="FFFFFF"/>
            </a:solidFill>
          </xdr:grpSpPr>
          <xdr:sp>
            <xdr:nvSpPr>
              <xdr:cNvPr id="4" name="Rectangle 26"/>
              <xdr:cNvSpPr>
                <a:spLocks/>
              </xdr:cNvSpPr>
            </xdr:nvSpPr>
            <xdr:spPr>
              <a:xfrm>
                <a:off x="89" y="102"/>
                <a:ext cx="166" cy="1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" name="Line 11"/>
              <xdr:cNvSpPr>
                <a:spLocks/>
              </xdr:cNvSpPr>
            </xdr:nvSpPr>
            <xdr:spPr>
              <a:xfrm>
                <a:off x="102" y="102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" name="Line 12"/>
              <xdr:cNvSpPr>
                <a:spLocks/>
              </xdr:cNvSpPr>
            </xdr:nvSpPr>
            <xdr:spPr>
              <a:xfrm>
                <a:off x="121" y="102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" name="Line 13"/>
              <xdr:cNvSpPr>
                <a:spLocks/>
              </xdr:cNvSpPr>
            </xdr:nvSpPr>
            <xdr:spPr>
              <a:xfrm>
                <a:off x="140" y="102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" name="Line 14"/>
              <xdr:cNvSpPr>
                <a:spLocks/>
              </xdr:cNvSpPr>
            </xdr:nvSpPr>
            <xdr:spPr>
              <a:xfrm>
                <a:off x="159" y="102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" name="Line 15"/>
              <xdr:cNvSpPr>
                <a:spLocks/>
              </xdr:cNvSpPr>
            </xdr:nvSpPr>
            <xdr:spPr>
              <a:xfrm>
                <a:off x="178" y="102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" name="Line 16"/>
              <xdr:cNvSpPr>
                <a:spLocks/>
              </xdr:cNvSpPr>
            </xdr:nvSpPr>
            <xdr:spPr>
              <a:xfrm>
                <a:off x="197" y="102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" name="Line 17"/>
              <xdr:cNvSpPr>
                <a:spLocks/>
              </xdr:cNvSpPr>
            </xdr:nvSpPr>
            <xdr:spPr>
              <a:xfrm>
                <a:off x="216" y="102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" name="Line 18"/>
              <xdr:cNvSpPr>
                <a:spLocks/>
              </xdr:cNvSpPr>
            </xdr:nvSpPr>
            <xdr:spPr>
              <a:xfrm>
                <a:off x="235" y="102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3" name="Line 5"/>
            <xdr:cNvSpPr>
              <a:spLocks/>
            </xdr:cNvSpPr>
          </xdr:nvSpPr>
          <xdr:spPr>
            <a:xfrm>
              <a:off x="38" y="33"/>
              <a:ext cx="0" cy="3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" name="Line 6"/>
            <xdr:cNvSpPr>
              <a:spLocks/>
            </xdr:cNvSpPr>
          </xdr:nvSpPr>
          <xdr:spPr>
            <a:xfrm>
              <a:off x="171" y="33"/>
              <a:ext cx="0" cy="3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" name="Line 7"/>
            <xdr:cNvSpPr>
              <a:spLocks/>
            </xdr:cNvSpPr>
          </xdr:nvSpPr>
          <xdr:spPr>
            <a:xfrm>
              <a:off x="323" y="33"/>
              <a:ext cx="0" cy="3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6" name="Group 25"/>
            <xdr:cNvGrpSpPr>
              <a:grpSpLocks/>
            </xdr:cNvGrpSpPr>
          </xdr:nvGrpSpPr>
          <xdr:grpSpPr>
            <a:xfrm>
              <a:off x="38" y="68"/>
              <a:ext cx="48" cy="15"/>
              <a:chOff x="40" y="102"/>
              <a:chExt cx="48" cy="17"/>
            </a:xfrm>
            <a:solidFill>
              <a:srgbClr val="FFFFFF"/>
            </a:solidFill>
          </xdr:grpSpPr>
          <xdr:sp>
            <xdr:nvSpPr>
              <xdr:cNvPr id="17" name="Rectangle 8"/>
              <xdr:cNvSpPr>
                <a:spLocks/>
              </xdr:cNvSpPr>
            </xdr:nvSpPr>
            <xdr:spPr>
              <a:xfrm>
                <a:off x="40" y="102"/>
                <a:ext cx="48" cy="1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" name="Line 9"/>
              <xdr:cNvSpPr>
                <a:spLocks/>
              </xdr:cNvSpPr>
            </xdr:nvSpPr>
            <xdr:spPr>
              <a:xfrm>
                <a:off x="48" y="102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" name="Line 10"/>
              <xdr:cNvSpPr>
                <a:spLocks/>
              </xdr:cNvSpPr>
            </xdr:nvSpPr>
            <xdr:spPr>
              <a:xfrm>
                <a:off x="64" y="102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" name="Line 19"/>
              <xdr:cNvSpPr>
                <a:spLocks/>
              </xdr:cNvSpPr>
            </xdr:nvSpPr>
            <xdr:spPr>
              <a:xfrm>
                <a:off x="81" y="102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1" name="Group 24"/>
            <xdr:cNvGrpSpPr>
              <a:grpSpLocks/>
            </xdr:cNvGrpSpPr>
          </xdr:nvGrpSpPr>
          <xdr:grpSpPr>
            <a:xfrm>
              <a:off x="256" y="69"/>
              <a:ext cx="66" cy="14"/>
              <a:chOff x="257" y="102"/>
              <a:chExt cx="66" cy="17"/>
            </a:xfrm>
            <a:solidFill>
              <a:srgbClr val="FFFFFF"/>
            </a:solidFill>
          </xdr:grpSpPr>
          <xdr:sp>
            <xdr:nvSpPr>
              <xdr:cNvPr id="22" name="Rectangle 23"/>
              <xdr:cNvSpPr>
                <a:spLocks/>
              </xdr:cNvSpPr>
            </xdr:nvSpPr>
            <xdr:spPr>
              <a:xfrm>
                <a:off x="257" y="102"/>
                <a:ext cx="66" cy="1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3" name="Line 20"/>
              <xdr:cNvSpPr>
                <a:spLocks/>
              </xdr:cNvSpPr>
            </xdr:nvSpPr>
            <xdr:spPr>
              <a:xfrm>
                <a:off x="273" y="102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" name="Line 21"/>
              <xdr:cNvSpPr>
                <a:spLocks/>
              </xdr:cNvSpPr>
            </xdr:nvSpPr>
            <xdr:spPr>
              <a:xfrm>
                <a:off x="292" y="102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5" name="Line 22"/>
              <xdr:cNvSpPr>
                <a:spLocks/>
              </xdr:cNvSpPr>
            </xdr:nvSpPr>
            <xdr:spPr>
              <a:xfrm>
                <a:off x="311" y="102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6" name="AutoShape 47"/>
            <xdr:cNvSpPr>
              <a:spLocks/>
            </xdr:cNvSpPr>
          </xdr:nvSpPr>
          <xdr:spPr>
            <a:xfrm rot="5400000">
              <a:off x="317" y="74"/>
              <a:ext cx="28" cy="24"/>
            </a:xfrm>
            <a:prstGeom prst="circularArrow">
              <a:avLst>
                <a:gd name="adj1" fmla="val -1887041"/>
                <a:gd name="adj2" fmla="val -10499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" name="AutoShape 48"/>
            <xdr:cNvSpPr>
              <a:spLocks/>
            </xdr:cNvSpPr>
          </xdr:nvSpPr>
          <xdr:spPr>
            <a:xfrm rot="5400000" flipH="1" flipV="1">
              <a:off x="16" y="74"/>
              <a:ext cx="28" cy="24"/>
            </a:xfrm>
            <a:prstGeom prst="circularArrow">
              <a:avLst>
                <a:gd name="adj1" fmla="val -1887041"/>
                <a:gd name="adj2" fmla="val -10499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8" name="Group 58"/>
          <xdr:cNvGrpSpPr>
            <a:grpSpLocks/>
          </xdr:cNvGrpSpPr>
        </xdr:nvGrpSpPr>
        <xdr:grpSpPr>
          <a:xfrm>
            <a:off x="31" y="51"/>
            <a:ext cx="300" cy="90"/>
            <a:chOff x="31" y="51"/>
            <a:chExt cx="300" cy="90"/>
          </a:xfrm>
          <a:solidFill>
            <a:srgbClr val="FFFFFF"/>
          </a:solidFill>
        </xdr:grpSpPr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1" y="130"/>
              <a:ext cx="300" cy="11"/>
              <a:chOff x="31" y="130"/>
              <a:chExt cx="300" cy="11"/>
            </a:xfrm>
            <a:solidFill>
              <a:srgbClr val="FFFFFF"/>
            </a:solidFill>
          </xdr:grpSpPr>
          <xdr:sp>
            <xdr:nvSpPr>
              <xdr:cNvPr id="30" name="Line 28"/>
              <xdr:cNvSpPr>
                <a:spLocks/>
              </xdr:cNvSpPr>
            </xdr:nvSpPr>
            <xdr:spPr>
              <a:xfrm>
                <a:off x="31" y="135"/>
                <a:ext cx="30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" name="Line 29"/>
              <xdr:cNvSpPr>
                <a:spLocks/>
              </xdr:cNvSpPr>
            </xdr:nvSpPr>
            <xdr:spPr>
              <a:xfrm>
                <a:off x="38" y="130"/>
                <a:ext cx="0" cy="1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2" name="Line 30"/>
              <xdr:cNvSpPr>
                <a:spLocks/>
              </xdr:cNvSpPr>
            </xdr:nvSpPr>
            <xdr:spPr>
              <a:xfrm>
                <a:off x="85" y="130"/>
                <a:ext cx="0" cy="1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3" name="Line 31"/>
              <xdr:cNvSpPr>
                <a:spLocks/>
              </xdr:cNvSpPr>
            </xdr:nvSpPr>
            <xdr:spPr>
              <a:xfrm>
                <a:off x="171" y="130"/>
                <a:ext cx="0" cy="1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4" name="Line 32"/>
              <xdr:cNvSpPr>
                <a:spLocks/>
              </xdr:cNvSpPr>
            </xdr:nvSpPr>
            <xdr:spPr>
              <a:xfrm>
                <a:off x="256" y="130"/>
                <a:ext cx="0" cy="1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5" name="Line 33"/>
              <xdr:cNvSpPr>
                <a:spLocks/>
              </xdr:cNvSpPr>
            </xdr:nvSpPr>
            <xdr:spPr>
              <a:xfrm>
                <a:off x="323" y="130"/>
                <a:ext cx="0" cy="1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6" name="Group 55"/>
            <xdr:cNvGrpSpPr>
              <a:grpSpLocks/>
            </xdr:cNvGrpSpPr>
          </xdr:nvGrpSpPr>
          <xdr:grpSpPr>
            <a:xfrm>
              <a:off x="38" y="51"/>
              <a:ext cx="285" cy="46"/>
              <a:chOff x="38" y="51"/>
              <a:chExt cx="285" cy="46"/>
            </a:xfrm>
            <a:solidFill>
              <a:srgbClr val="FFFFFF"/>
            </a:solidFill>
          </xdr:grpSpPr>
          <xdr:grpSp>
            <xdr:nvGrpSpPr>
              <xdr:cNvPr id="37" name="Group 54"/>
              <xdr:cNvGrpSpPr>
                <a:grpSpLocks/>
              </xdr:cNvGrpSpPr>
            </xdr:nvGrpSpPr>
            <xdr:grpSpPr>
              <a:xfrm>
                <a:off x="64" y="51"/>
                <a:ext cx="241" cy="17"/>
                <a:chOff x="64" y="51"/>
                <a:chExt cx="241" cy="17"/>
              </a:xfrm>
              <a:solidFill>
                <a:srgbClr val="FFFFFF"/>
              </a:solidFill>
            </xdr:grpSpPr>
            <xdr:sp>
              <xdr:nvSpPr>
                <xdr:cNvPr id="38" name="AutoShape 35"/>
                <xdr:cNvSpPr>
                  <a:spLocks/>
                </xdr:cNvSpPr>
              </xdr:nvSpPr>
              <xdr:spPr>
                <a:xfrm rot="10800000" flipV="1">
                  <a:off x="64" y="51"/>
                  <a:ext cx="33" cy="17"/>
                </a:xfrm>
                <a:prstGeom prst="bentConnector2">
                  <a:avLst>
                    <a:gd name="adj1" fmla="val -337879"/>
                    <a:gd name="adj2" fmla="val 273527"/>
                    <a:gd name="adj3" fmla="val -337879"/>
                  </a:avLst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arrow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9" name="AutoShape 39"/>
                <xdr:cNvSpPr>
                  <a:spLocks/>
                </xdr:cNvSpPr>
              </xdr:nvSpPr>
              <xdr:spPr>
                <a:xfrm rot="10800000" flipV="1">
                  <a:off x="272" y="51"/>
                  <a:ext cx="33" cy="17"/>
                </a:xfrm>
                <a:prstGeom prst="bentConnector2">
                  <a:avLst>
                    <a:gd name="adj1" fmla="val -337879"/>
                    <a:gd name="adj2" fmla="val 273527"/>
                    <a:gd name="adj3" fmla="val -337879"/>
                  </a:avLst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arrow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0" name="AutoShape 40"/>
                <xdr:cNvSpPr>
                  <a:spLocks/>
                </xdr:cNvSpPr>
              </xdr:nvSpPr>
              <xdr:spPr>
                <a:xfrm rot="10800000" flipV="1">
                  <a:off x="198" y="51"/>
                  <a:ext cx="30" cy="14"/>
                </a:xfrm>
                <a:prstGeom prst="bentConnector2">
                  <a:avLst>
                    <a:gd name="adj1" fmla="val -803333"/>
                    <a:gd name="adj2" fmla="val 342856"/>
                    <a:gd name="adj3" fmla="val -803333"/>
                  </a:avLst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arrow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41" name="Group 53"/>
              <xdr:cNvGrpSpPr>
                <a:grpSpLocks/>
              </xdr:cNvGrpSpPr>
            </xdr:nvGrpSpPr>
            <xdr:grpSpPr>
              <a:xfrm>
                <a:off x="38" y="81"/>
                <a:ext cx="285" cy="16"/>
                <a:chOff x="38" y="81"/>
                <a:chExt cx="285" cy="16"/>
              </a:xfrm>
              <a:solidFill>
                <a:srgbClr val="FFFFFF"/>
              </a:solidFill>
            </xdr:grpSpPr>
            <xdr:grpSp>
              <xdr:nvGrpSpPr>
                <xdr:cNvPr id="42" name="Group 52"/>
                <xdr:cNvGrpSpPr>
                  <a:grpSpLocks/>
                </xdr:cNvGrpSpPr>
              </xdr:nvGrpSpPr>
              <xdr:grpSpPr>
                <a:xfrm>
                  <a:off x="38" y="85"/>
                  <a:ext cx="284" cy="12"/>
                  <a:chOff x="38" y="85"/>
                  <a:chExt cx="284" cy="12"/>
                </a:xfrm>
                <a:solidFill>
                  <a:srgbClr val="FFFFFF"/>
                </a:solidFill>
              </xdr:grpSpPr>
              <xdr:sp>
                <xdr:nvSpPr>
                  <xdr:cNvPr id="43" name="Line 1"/>
                  <xdr:cNvSpPr>
                    <a:spLocks/>
                  </xdr:cNvSpPr>
                </xdr:nvSpPr>
                <xdr:spPr>
                  <a:xfrm>
                    <a:off x="38" y="85"/>
                    <a:ext cx="284" cy="0"/>
                  </a:xfrm>
                  <a:prstGeom prst="line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44" name="AutoShape 3"/>
                  <xdr:cNvSpPr>
                    <a:spLocks/>
                  </xdr:cNvSpPr>
                </xdr:nvSpPr>
                <xdr:spPr>
                  <a:xfrm>
                    <a:off x="248" y="85"/>
                    <a:ext cx="18" cy="6"/>
                  </a:xfrm>
                  <a:prstGeom prst="triangl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grpSp>
                <xdr:nvGrpSpPr>
                  <xdr:cNvPr id="45" name="Group 51"/>
                  <xdr:cNvGrpSpPr>
                    <a:grpSpLocks/>
                  </xdr:cNvGrpSpPr>
                </xdr:nvGrpSpPr>
                <xdr:grpSpPr>
                  <a:xfrm>
                    <a:off x="76" y="85"/>
                    <a:ext cx="19" cy="12"/>
                    <a:chOff x="76" y="85"/>
                    <a:chExt cx="19" cy="12"/>
                  </a:xfrm>
                  <a:solidFill>
                    <a:srgbClr val="FFFFFF"/>
                  </a:solidFill>
                </xdr:grpSpPr>
                <xdr:sp>
                  <xdr:nvSpPr>
                    <xdr:cNvPr id="46" name="AutoShape 4"/>
                    <xdr:cNvSpPr>
                      <a:spLocks/>
                    </xdr:cNvSpPr>
                  </xdr:nvSpPr>
                  <xdr:spPr>
                    <a:xfrm>
                      <a:off x="77" y="85"/>
                      <a:ext cx="18" cy="6"/>
                    </a:xfrm>
                    <a:prstGeom prst="triangl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7" name="Oval 42"/>
                    <xdr:cNvSpPr>
                      <a:spLocks/>
                    </xdr:cNvSpPr>
                  </xdr:nvSpPr>
                  <xdr:spPr>
                    <a:xfrm>
                      <a:off x="83" y="92"/>
                      <a:ext cx="4" cy="4"/>
                    </a:xfrm>
                    <a:prstGeom prst="ellips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8" name="Line 43"/>
                    <xdr:cNvSpPr>
                      <a:spLocks/>
                    </xdr:cNvSpPr>
                  </xdr:nvSpPr>
                  <xdr:spPr>
                    <a:xfrm>
                      <a:off x="76" y="97"/>
                      <a:ext cx="19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</xdr:grpSp>
            </xdr:grpSp>
            <xdr:sp>
              <xdr:nvSpPr>
                <xdr:cNvPr id="49" name="Line 45"/>
                <xdr:cNvSpPr>
                  <a:spLocks/>
                </xdr:cNvSpPr>
              </xdr:nvSpPr>
              <xdr:spPr>
                <a:xfrm flipH="1">
                  <a:off x="171" y="81"/>
                  <a:ext cx="0" cy="7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0" name="Line 49"/>
                <xdr:cNvSpPr>
                  <a:spLocks/>
                </xdr:cNvSpPr>
              </xdr:nvSpPr>
              <xdr:spPr>
                <a:xfrm flipH="1">
                  <a:off x="38" y="81"/>
                  <a:ext cx="0" cy="7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1" name="Line 50"/>
                <xdr:cNvSpPr>
                  <a:spLocks/>
                </xdr:cNvSpPr>
              </xdr:nvSpPr>
              <xdr:spPr>
                <a:xfrm flipH="1">
                  <a:off x="323" y="81"/>
                  <a:ext cx="0" cy="7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0</xdr:col>
      <xdr:colOff>0</xdr:colOff>
      <xdr:row>51</xdr:row>
      <xdr:rowOff>85725</xdr:rowOff>
    </xdr:from>
    <xdr:to>
      <xdr:col>35</xdr:col>
      <xdr:colOff>0</xdr:colOff>
      <xdr:row>51</xdr:row>
      <xdr:rowOff>85725</xdr:rowOff>
    </xdr:to>
    <xdr:sp>
      <xdr:nvSpPr>
        <xdr:cNvPr id="52" name="Line 61"/>
        <xdr:cNvSpPr>
          <a:spLocks/>
        </xdr:cNvSpPr>
      </xdr:nvSpPr>
      <xdr:spPr>
        <a:xfrm>
          <a:off x="0" y="3800475"/>
          <a:ext cx="733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54</xdr:row>
      <xdr:rowOff>28575</xdr:rowOff>
    </xdr:from>
    <xdr:to>
      <xdr:col>18</xdr:col>
      <xdr:colOff>76200</xdr:colOff>
      <xdr:row>59</xdr:row>
      <xdr:rowOff>57150</xdr:rowOff>
    </xdr:to>
    <xdr:grpSp>
      <xdr:nvGrpSpPr>
        <xdr:cNvPr id="53" name="Group 153"/>
        <xdr:cNvGrpSpPr>
          <a:grpSpLocks/>
        </xdr:cNvGrpSpPr>
      </xdr:nvGrpSpPr>
      <xdr:grpSpPr>
        <a:xfrm>
          <a:off x="66675" y="4229100"/>
          <a:ext cx="3781425" cy="838200"/>
          <a:chOff x="6" y="444"/>
          <a:chExt cx="343" cy="88"/>
        </a:xfrm>
        <a:solidFill>
          <a:srgbClr val="FFFFFF"/>
        </a:solidFill>
      </xdr:grpSpPr>
      <xdr:grpSp>
        <xdr:nvGrpSpPr>
          <xdr:cNvPr id="54" name="Group 152"/>
          <xdr:cNvGrpSpPr>
            <a:grpSpLocks/>
          </xdr:cNvGrpSpPr>
        </xdr:nvGrpSpPr>
        <xdr:grpSpPr>
          <a:xfrm>
            <a:off x="12" y="521"/>
            <a:ext cx="317" cy="11"/>
            <a:chOff x="12" y="521"/>
            <a:chExt cx="317" cy="11"/>
          </a:xfrm>
          <a:solidFill>
            <a:srgbClr val="FFFFFF"/>
          </a:solidFill>
        </xdr:grpSpPr>
        <xdr:sp>
          <xdr:nvSpPr>
            <xdr:cNvPr id="55" name="Line 92"/>
            <xdr:cNvSpPr>
              <a:spLocks/>
            </xdr:cNvSpPr>
          </xdr:nvSpPr>
          <xdr:spPr>
            <a:xfrm>
              <a:off x="12" y="526"/>
              <a:ext cx="31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" name="Line 93"/>
            <xdr:cNvSpPr>
              <a:spLocks/>
            </xdr:cNvSpPr>
          </xdr:nvSpPr>
          <xdr:spPr>
            <a:xfrm>
              <a:off x="19" y="521"/>
              <a:ext cx="0" cy="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" name="Line 94"/>
            <xdr:cNvSpPr>
              <a:spLocks/>
            </xdr:cNvSpPr>
          </xdr:nvSpPr>
          <xdr:spPr>
            <a:xfrm>
              <a:off x="114" y="521"/>
              <a:ext cx="0" cy="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" name="Line 95"/>
            <xdr:cNvSpPr>
              <a:spLocks/>
            </xdr:cNvSpPr>
          </xdr:nvSpPr>
          <xdr:spPr>
            <a:xfrm>
              <a:off x="266" y="521"/>
              <a:ext cx="0" cy="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" name="Line 96"/>
            <xdr:cNvSpPr>
              <a:spLocks/>
            </xdr:cNvSpPr>
          </xdr:nvSpPr>
          <xdr:spPr>
            <a:xfrm>
              <a:off x="323" y="521"/>
              <a:ext cx="0" cy="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0" name="Group 151"/>
          <xdr:cNvGrpSpPr>
            <a:grpSpLocks/>
          </xdr:cNvGrpSpPr>
        </xdr:nvGrpSpPr>
        <xdr:grpSpPr>
          <a:xfrm>
            <a:off x="6" y="475"/>
            <a:ext cx="317" cy="34"/>
            <a:chOff x="6" y="475"/>
            <a:chExt cx="317" cy="34"/>
          </a:xfrm>
          <a:solidFill>
            <a:srgbClr val="FFFFFF"/>
          </a:solidFill>
        </xdr:grpSpPr>
        <xdr:sp>
          <xdr:nvSpPr>
            <xdr:cNvPr id="61" name="Line 62"/>
            <xdr:cNvSpPr>
              <a:spLocks/>
            </xdr:cNvSpPr>
          </xdr:nvSpPr>
          <xdr:spPr>
            <a:xfrm>
              <a:off x="19" y="492"/>
              <a:ext cx="304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" name="Rectangle 63"/>
            <xdr:cNvSpPr>
              <a:spLocks/>
            </xdr:cNvSpPr>
          </xdr:nvSpPr>
          <xdr:spPr>
            <a:xfrm>
              <a:off x="6" y="475"/>
              <a:ext cx="13" cy="34"/>
            </a:xfrm>
            <a:prstGeom prst="rect">
              <a:avLst/>
            </a:prstGeom>
            <a:pattFill prst="ltUpDiag">
              <a:fgClr>
                <a:srgbClr val="000000"/>
              </a:fgClr>
              <a:bgClr>
                <a:srgbClr val="FFFFFF"/>
              </a:bgClr>
            </a:patt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" name="Line 64"/>
            <xdr:cNvSpPr>
              <a:spLocks/>
            </xdr:cNvSpPr>
          </xdr:nvSpPr>
          <xdr:spPr>
            <a:xfrm>
              <a:off x="19" y="475"/>
              <a:ext cx="0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" name="AutoShape 65"/>
            <xdr:cNvSpPr>
              <a:spLocks/>
            </xdr:cNvSpPr>
          </xdr:nvSpPr>
          <xdr:spPr>
            <a:xfrm>
              <a:off x="257" y="494"/>
              <a:ext cx="18" cy="4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" name="Oval 67"/>
            <xdr:cNvSpPr>
              <a:spLocks/>
            </xdr:cNvSpPr>
          </xdr:nvSpPr>
          <xdr:spPr>
            <a:xfrm>
              <a:off x="263" y="499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" name="Oval 68"/>
            <xdr:cNvSpPr>
              <a:spLocks/>
            </xdr:cNvSpPr>
          </xdr:nvSpPr>
          <xdr:spPr>
            <a:xfrm>
              <a:off x="111" y="489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" name="Line 70"/>
            <xdr:cNvSpPr>
              <a:spLocks/>
            </xdr:cNvSpPr>
          </xdr:nvSpPr>
          <xdr:spPr>
            <a:xfrm>
              <a:off x="252" y="505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" name="Line 98"/>
            <xdr:cNvSpPr>
              <a:spLocks/>
            </xdr:cNvSpPr>
          </xdr:nvSpPr>
          <xdr:spPr>
            <a:xfrm>
              <a:off x="108" y="485"/>
              <a:ext cx="0" cy="1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" name="Line 99"/>
            <xdr:cNvSpPr>
              <a:spLocks/>
            </xdr:cNvSpPr>
          </xdr:nvSpPr>
          <xdr:spPr>
            <a:xfrm>
              <a:off x="120" y="485"/>
              <a:ext cx="0" cy="1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" name="Line 100"/>
            <xdr:cNvSpPr>
              <a:spLocks/>
            </xdr:cNvSpPr>
          </xdr:nvSpPr>
          <xdr:spPr>
            <a:xfrm>
              <a:off x="322" y="485"/>
              <a:ext cx="0" cy="1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71" name="Group 150"/>
          <xdr:cNvGrpSpPr>
            <a:grpSpLocks/>
          </xdr:cNvGrpSpPr>
        </xdr:nvGrpSpPr>
        <xdr:grpSpPr>
          <a:xfrm>
            <a:off x="21" y="444"/>
            <a:ext cx="328" cy="67"/>
            <a:chOff x="21" y="444"/>
            <a:chExt cx="328" cy="67"/>
          </a:xfrm>
          <a:solidFill>
            <a:srgbClr val="FFFFFF"/>
          </a:solidFill>
        </xdr:grpSpPr>
        <xdr:grpSp>
          <xdr:nvGrpSpPr>
            <xdr:cNvPr id="72" name="Group 87"/>
            <xdr:cNvGrpSpPr>
              <a:grpSpLocks/>
            </xdr:cNvGrpSpPr>
          </xdr:nvGrpSpPr>
          <xdr:grpSpPr>
            <a:xfrm>
              <a:off x="21" y="474"/>
              <a:ext cx="92" cy="16"/>
              <a:chOff x="40" y="463"/>
              <a:chExt cx="92" cy="16"/>
            </a:xfrm>
            <a:solidFill>
              <a:srgbClr val="FFFFFF"/>
            </a:solidFill>
          </xdr:grpSpPr>
          <xdr:sp>
            <xdr:nvSpPr>
              <xdr:cNvPr id="73" name="Rectangle 71"/>
              <xdr:cNvSpPr>
                <a:spLocks/>
              </xdr:cNvSpPr>
            </xdr:nvSpPr>
            <xdr:spPr>
              <a:xfrm>
                <a:off x="40" y="463"/>
                <a:ext cx="92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4" name="Line 74"/>
              <xdr:cNvSpPr>
                <a:spLocks/>
              </xdr:cNvSpPr>
            </xdr:nvSpPr>
            <xdr:spPr>
              <a:xfrm>
                <a:off x="57" y="46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5" name="Line 75"/>
              <xdr:cNvSpPr>
                <a:spLocks/>
              </xdr:cNvSpPr>
            </xdr:nvSpPr>
            <xdr:spPr>
              <a:xfrm>
                <a:off x="76" y="46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6" name="Line 76"/>
              <xdr:cNvSpPr>
                <a:spLocks/>
              </xdr:cNvSpPr>
            </xdr:nvSpPr>
            <xdr:spPr>
              <a:xfrm>
                <a:off x="95" y="46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7" name="Line 77"/>
              <xdr:cNvSpPr>
                <a:spLocks/>
              </xdr:cNvSpPr>
            </xdr:nvSpPr>
            <xdr:spPr>
              <a:xfrm>
                <a:off x="114" y="46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78" name="Group 88"/>
            <xdr:cNvGrpSpPr>
              <a:grpSpLocks/>
            </xdr:cNvGrpSpPr>
          </xdr:nvGrpSpPr>
          <xdr:grpSpPr>
            <a:xfrm>
              <a:off x="116" y="471"/>
              <a:ext cx="149" cy="19"/>
              <a:chOff x="135" y="423"/>
              <a:chExt cx="149" cy="16"/>
            </a:xfrm>
            <a:solidFill>
              <a:srgbClr val="FFFFFF"/>
            </a:solidFill>
          </xdr:grpSpPr>
          <xdr:sp>
            <xdr:nvSpPr>
              <xdr:cNvPr id="79" name="Rectangle 72"/>
              <xdr:cNvSpPr>
                <a:spLocks/>
              </xdr:cNvSpPr>
            </xdr:nvSpPr>
            <xdr:spPr>
              <a:xfrm>
                <a:off x="135" y="423"/>
                <a:ext cx="149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" name="Line 78"/>
              <xdr:cNvSpPr>
                <a:spLocks/>
              </xdr:cNvSpPr>
            </xdr:nvSpPr>
            <xdr:spPr>
              <a:xfrm>
                <a:off x="152" y="42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1" name="Line 79"/>
              <xdr:cNvSpPr>
                <a:spLocks/>
              </xdr:cNvSpPr>
            </xdr:nvSpPr>
            <xdr:spPr>
              <a:xfrm>
                <a:off x="171" y="42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2" name="Line 80"/>
              <xdr:cNvSpPr>
                <a:spLocks/>
              </xdr:cNvSpPr>
            </xdr:nvSpPr>
            <xdr:spPr>
              <a:xfrm>
                <a:off x="190" y="42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3" name="Line 81"/>
              <xdr:cNvSpPr>
                <a:spLocks/>
              </xdr:cNvSpPr>
            </xdr:nvSpPr>
            <xdr:spPr>
              <a:xfrm>
                <a:off x="209" y="42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4" name="Line 82"/>
              <xdr:cNvSpPr>
                <a:spLocks/>
              </xdr:cNvSpPr>
            </xdr:nvSpPr>
            <xdr:spPr>
              <a:xfrm>
                <a:off x="228" y="42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5" name="Line 83"/>
              <xdr:cNvSpPr>
                <a:spLocks/>
              </xdr:cNvSpPr>
            </xdr:nvSpPr>
            <xdr:spPr>
              <a:xfrm>
                <a:off x="247" y="42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" name="Line 84"/>
              <xdr:cNvSpPr>
                <a:spLocks/>
              </xdr:cNvSpPr>
            </xdr:nvSpPr>
            <xdr:spPr>
              <a:xfrm>
                <a:off x="266" y="42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87" name="Group 89"/>
            <xdr:cNvGrpSpPr>
              <a:grpSpLocks/>
            </xdr:cNvGrpSpPr>
          </xdr:nvGrpSpPr>
          <xdr:grpSpPr>
            <a:xfrm>
              <a:off x="267" y="475"/>
              <a:ext cx="55" cy="15"/>
              <a:chOff x="286" y="492"/>
              <a:chExt cx="55" cy="15"/>
            </a:xfrm>
            <a:solidFill>
              <a:srgbClr val="FFFFFF"/>
            </a:solidFill>
          </xdr:grpSpPr>
          <xdr:sp>
            <xdr:nvSpPr>
              <xdr:cNvPr id="88" name="Rectangle 73"/>
              <xdr:cNvSpPr>
                <a:spLocks/>
              </xdr:cNvSpPr>
            </xdr:nvSpPr>
            <xdr:spPr>
              <a:xfrm>
                <a:off x="286" y="492"/>
                <a:ext cx="55" cy="1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9" name="Line 85"/>
              <xdr:cNvSpPr>
                <a:spLocks/>
              </xdr:cNvSpPr>
            </xdr:nvSpPr>
            <xdr:spPr>
              <a:xfrm>
                <a:off x="304" y="492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0" name="Line 86"/>
              <xdr:cNvSpPr>
                <a:spLocks/>
              </xdr:cNvSpPr>
            </xdr:nvSpPr>
            <xdr:spPr>
              <a:xfrm>
                <a:off x="323" y="492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91" name="Line 90"/>
            <xdr:cNvSpPr>
              <a:spLocks/>
            </xdr:cNvSpPr>
          </xdr:nvSpPr>
          <xdr:spPr>
            <a:xfrm>
              <a:off x="114" y="444"/>
              <a:ext cx="0" cy="25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" name="Line 91"/>
            <xdr:cNvSpPr>
              <a:spLocks/>
            </xdr:cNvSpPr>
          </xdr:nvSpPr>
          <xdr:spPr>
            <a:xfrm>
              <a:off x="323" y="448"/>
              <a:ext cx="0" cy="25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" name="AutoShape 101"/>
            <xdr:cNvSpPr>
              <a:spLocks/>
            </xdr:cNvSpPr>
          </xdr:nvSpPr>
          <xdr:spPr>
            <a:xfrm rot="5400000">
              <a:off x="312" y="470"/>
              <a:ext cx="33" cy="40"/>
            </a:xfrm>
            <a:prstGeom prst="circularArrow">
              <a:avLst>
                <a:gd name="adj" fmla="val -9092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" name="AutoShape 102"/>
            <xdr:cNvSpPr>
              <a:spLocks/>
            </xdr:cNvSpPr>
          </xdr:nvSpPr>
          <xdr:spPr>
            <a:xfrm rot="5400000">
              <a:off x="106" y="475"/>
              <a:ext cx="33" cy="40"/>
            </a:xfrm>
            <a:prstGeom prst="circularArrow">
              <a:avLst>
                <a:gd name="adj" fmla="val -9092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" name="AutoShape 103"/>
            <xdr:cNvSpPr>
              <a:spLocks/>
            </xdr:cNvSpPr>
          </xdr:nvSpPr>
          <xdr:spPr>
            <a:xfrm rot="16200000" flipH="1">
              <a:off x="85" y="477"/>
              <a:ext cx="40" cy="33"/>
            </a:xfrm>
            <a:prstGeom prst="circularArrow">
              <a:avLst>
                <a:gd name="adj" fmla="val -9092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88</xdr:row>
      <xdr:rowOff>76200</xdr:rowOff>
    </xdr:from>
    <xdr:to>
      <xdr:col>35</xdr:col>
      <xdr:colOff>0</xdr:colOff>
      <xdr:row>88</xdr:row>
      <xdr:rowOff>76200</xdr:rowOff>
    </xdr:to>
    <xdr:sp>
      <xdr:nvSpPr>
        <xdr:cNvPr id="96" name="Line 104"/>
        <xdr:cNvSpPr>
          <a:spLocks/>
        </xdr:cNvSpPr>
      </xdr:nvSpPr>
      <xdr:spPr>
        <a:xfrm>
          <a:off x="0" y="7029450"/>
          <a:ext cx="733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123825</xdr:colOff>
      <xdr:row>91</xdr:row>
      <xdr:rowOff>0</xdr:rowOff>
    </xdr:from>
    <xdr:to>
      <xdr:col>12</xdr:col>
      <xdr:colOff>76200</xdr:colOff>
      <xdr:row>100</xdr:row>
      <xdr:rowOff>66675</xdr:rowOff>
    </xdr:to>
    <xdr:grpSp>
      <xdr:nvGrpSpPr>
        <xdr:cNvPr id="97" name="Group 149"/>
        <xdr:cNvGrpSpPr>
          <a:grpSpLocks/>
        </xdr:cNvGrpSpPr>
      </xdr:nvGrpSpPr>
      <xdr:grpSpPr>
        <a:xfrm>
          <a:off x="123825" y="7439025"/>
          <a:ext cx="2466975" cy="1524000"/>
          <a:chOff x="11" y="798"/>
          <a:chExt cx="224" cy="160"/>
        </a:xfrm>
        <a:solidFill>
          <a:srgbClr val="FFFFFF"/>
        </a:solidFill>
      </xdr:grpSpPr>
      <xdr:grpSp>
        <xdr:nvGrpSpPr>
          <xdr:cNvPr id="98" name="Group 118"/>
          <xdr:cNvGrpSpPr>
            <a:grpSpLocks/>
          </xdr:cNvGrpSpPr>
        </xdr:nvGrpSpPr>
        <xdr:grpSpPr>
          <a:xfrm>
            <a:off x="48" y="815"/>
            <a:ext cx="155" cy="113"/>
            <a:chOff x="48" y="815"/>
            <a:chExt cx="155" cy="113"/>
          </a:xfrm>
          <a:solidFill>
            <a:srgbClr val="FFFFFF"/>
          </a:solidFill>
        </xdr:grpSpPr>
        <xdr:grpSp>
          <xdr:nvGrpSpPr>
            <xdr:cNvPr id="99" name="Group 109"/>
            <xdr:cNvGrpSpPr>
              <a:grpSpLocks/>
            </xdr:cNvGrpSpPr>
          </xdr:nvGrpSpPr>
          <xdr:grpSpPr>
            <a:xfrm>
              <a:off x="57" y="815"/>
              <a:ext cx="133" cy="102"/>
              <a:chOff x="57" y="815"/>
              <a:chExt cx="133" cy="102"/>
            </a:xfrm>
            <a:solidFill>
              <a:srgbClr val="FFFFFF"/>
            </a:solidFill>
          </xdr:grpSpPr>
          <xdr:sp>
            <xdr:nvSpPr>
              <xdr:cNvPr id="100" name="Line 105"/>
              <xdr:cNvSpPr>
                <a:spLocks/>
              </xdr:cNvSpPr>
            </xdr:nvSpPr>
            <xdr:spPr>
              <a:xfrm>
                <a:off x="57" y="815"/>
                <a:ext cx="0" cy="10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1" name="Line 106"/>
              <xdr:cNvSpPr>
                <a:spLocks/>
              </xdr:cNvSpPr>
            </xdr:nvSpPr>
            <xdr:spPr>
              <a:xfrm>
                <a:off x="57" y="815"/>
                <a:ext cx="133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2" name="Line 108"/>
              <xdr:cNvSpPr>
                <a:spLocks/>
              </xdr:cNvSpPr>
            </xdr:nvSpPr>
            <xdr:spPr>
              <a:xfrm>
                <a:off x="190" y="815"/>
                <a:ext cx="0" cy="10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03" name="Group 117"/>
            <xdr:cNvGrpSpPr>
              <a:grpSpLocks/>
            </xdr:cNvGrpSpPr>
          </xdr:nvGrpSpPr>
          <xdr:grpSpPr>
            <a:xfrm>
              <a:off x="48" y="917"/>
              <a:ext cx="155" cy="11"/>
              <a:chOff x="48" y="917"/>
              <a:chExt cx="155" cy="11"/>
            </a:xfrm>
            <a:solidFill>
              <a:srgbClr val="FFFFFF"/>
            </a:solidFill>
          </xdr:grpSpPr>
          <xdr:sp>
            <xdr:nvSpPr>
              <xdr:cNvPr id="104" name="AutoShape 110"/>
              <xdr:cNvSpPr>
                <a:spLocks/>
              </xdr:cNvSpPr>
            </xdr:nvSpPr>
            <xdr:spPr>
              <a:xfrm>
                <a:off x="48" y="917"/>
                <a:ext cx="18" cy="4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grpSp>
            <xdr:nvGrpSpPr>
              <xdr:cNvPr id="105" name="Group 116"/>
              <xdr:cNvGrpSpPr>
                <a:grpSpLocks/>
              </xdr:cNvGrpSpPr>
            </xdr:nvGrpSpPr>
            <xdr:grpSpPr>
              <a:xfrm>
                <a:off x="176" y="917"/>
                <a:ext cx="27" cy="11"/>
                <a:chOff x="176" y="917"/>
                <a:chExt cx="27" cy="11"/>
              </a:xfrm>
              <a:solidFill>
                <a:srgbClr val="FFFFFF"/>
              </a:solidFill>
            </xdr:grpSpPr>
            <xdr:sp>
              <xdr:nvSpPr>
                <xdr:cNvPr id="106" name="AutoShape 113"/>
                <xdr:cNvSpPr>
                  <a:spLocks/>
                </xdr:cNvSpPr>
              </xdr:nvSpPr>
              <xdr:spPr>
                <a:xfrm>
                  <a:off x="181" y="917"/>
                  <a:ext cx="18" cy="4"/>
                </a:xfrm>
                <a:prstGeom prst="triangl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07" name="Oval 114"/>
                <xdr:cNvSpPr>
                  <a:spLocks/>
                </xdr:cNvSpPr>
              </xdr:nvSpPr>
              <xdr:spPr>
                <a:xfrm>
                  <a:off x="187" y="922"/>
                  <a:ext cx="6" cy="6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08" name="Line 115"/>
                <xdr:cNvSpPr>
                  <a:spLocks/>
                </xdr:cNvSpPr>
              </xdr:nvSpPr>
              <xdr:spPr>
                <a:xfrm>
                  <a:off x="176" y="928"/>
                  <a:ext cx="27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109" name="Group 148"/>
          <xdr:cNvGrpSpPr>
            <a:grpSpLocks/>
          </xdr:cNvGrpSpPr>
        </xdr:nvGrpSpPr>
        <xdr:grpSpPr>
          <a:xfrm>
            <a:off x="11" y="798"/>
            <a:ext cx="195" cy="120"/>
            <a:chOff x="11" y="798"/>
            <a:chExt cx="195" cy="120"/>
          </a:xfrm>
          <a:solidFill>
            <a:srgbClr val="FFFFFF"/>
          </a:solidFill>
        </xdr:grpSpPr>
        <xdr:grpSp>
          <xdr:nvGrpSpPr>
            <xdr:cNvPr id="110" name="Group 119"/>
            <xdr:cNvGrpSpPr>
              <a:grpSpLocks/>
            </xdr:cNvGrpSpPr>
          </xdr:nvGrpSpPr>
          <xdr:grpSpPr>
            <a:xfrm>
              <a:off x="57" y="798"/>
              <a:ext cx="133" cy="14"/>
              <a:chOff x="40" y="463"/>
              <a:chExt cx="92" cy="16"/>
            </a:xfrm>
            <a:solidFill>
              <a:srgbClr val="FFFFFF"/>
            </a:solidFill>
          </xdr:grpSpPr>
          <xdr:sp>
            <xdr:nvSpPr>
              <xdr:cNvPr id="111" name="Rectangle 120"/>
              <xdr:cNvSpPr>
                <a:spLocks/>
              </xdr:cNvSpPr>
            </xdr:nvSpPr>
            <xdr:spPr>
              <a:xfrm>
                <a:off x="40" y="463"/>
                <a:ext cx="92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2" name="Line 121"/>
              <xdr:cNvSpPr>
                <a:spLocks/>
              </xdr:cNvSpPr>
            </xdr:nvSpPr>
            <xdr:spPr>
              <a:xfrm>
                <a:off x="57" y="46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3" name="Line 122"/>
              <xdr:cNvSpPr>
                <a:spLocks/>
              </xdr:cNvSpPr>
            </xdr:nvSpPr>
            <xdr:spPr>
              <a:xfrm>
                <a:off x="76" y="46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4" name="Line 123"/>
              <xdr:cNvSpPr>
                <a:spLocks/>
              </xdr:cNvSpPr>
            </xdr:nvSpPr>
            <xdr:spPr>
              <a:xfrm>
                <a:off x="95" y="46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5" name="Line 124"/>
              <xdr:cNvSpPr>
                <a:spLocks/>
              </xdr:cNvSpPr>
            </xdr:nvSpPr>
            <xdr:spPr>
              <a:xfrm>
                <a:off x="114" y="46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16" name="Group 125"/>
            <xdr:cNvGrpSpPr>
              <a:grpSpLocks/>
            </xdr:cNvGrpSpPr>
          </xdr:nvGrpSpPr>
          <xdr:grpSpPr>
            <a:xfrm rot="16200000">
              <a:off x="40" y="814"/>
              <a:ext cx="14" cy="103"/>
              <a:chOff x="40" y="463"/>
              <a:chExt cx="92" cy="16"/>
            </a:xfrm>
            <a:solidFill>
              <a:srgbClr val="FFFFFF"/>
            </a:solidFill>
          </xdr:grpSpPr>
          <xdr:sp>
            <xdr:nvSpPr>
              <xdr:cNvPr id="117" name="Rectangle 126"/>
              <xdr:cNvSpPr>
                <a:spLocks/>
              </xdr:cNvSpPr>
            </xdr:nvSpPr>
            <xdr:spPr>
              <a:xfrm>
                <a:off x="40" y="463"/>
                <a:ext cx="92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8" name="Line 127"/>
              <xdr:cNvSpPr>
                <a:spLocks/>
              </xdr:cNvSpPr>
            </xdr:nvSpPr>
            <xdr:spPr>
              <a:xfrm>
                <a:off x="57" y="46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9" name="Line 128"/>
              <xdr:cNvSpPr>
                <a:spLocks/>
              </xdr:cNvSpPr>
            </xdr:nvSpPr>
            <xdr:spPr>
              <a:xfrm>
                <a:off x="76" y="46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0" name="Line 129"/>
              <xdr:cNvSpPr>
                <a:spLocks/>
              </xdr:cNvSpPr>
            </xdr:nvSpPr>
            <xdr:spPr>
              <a:xfrm>
                <a:off x="95" y="46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1" name="Line 130"/>
              <xdr:cNvSpPr>
                <a:spLocks/>
              </xdr:cNvSpPr>
            </xdr:nvSpPr>
            <xdr:spPr>
              <a:xfrm>
                <a:off x="114" y="46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22" name="Group 131"/>
            <xdr:cNvGrpSpPr>
              <a:grpSpLocks/>
            </xdr:cNvGrpSpPr>
          </xdr:nvGrpSpPr>
          <xdr:grpSpPr>
            <a:xfrm rot="5400000" flipH="1">
              <a:off x="148" y="859"/>
              <a:ext cx="103" cy="14"/>
              <a:chOff x="40" y="463"/>
              <a:chExt cx="92" cy="16"/>
            </a:xfrm>
            <a:solidFill>
              <a:srgbClr val="FFFFFF"/>
            </a:solidFill>
          </xdr:grpSpPr>
          <xdr:sp>
            <xdr:nvSpPr>
              <xdr:cNvPr id="123" name="Rectangle 132"/>
              <xdr:cNvSpPr>
                <a:spLocks/>
              </xdr:cNvSpPr>
            </xdr:nvSpPr>
            <xdr:spPr>
              <a:xfrm>
                <a:off x="40" y="463"/>
                <a:ext cx="92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4" name="Line 133"/>
              <xdr:cNvSpPr>
                <a:spLocks/>
              </xdr:cNvSpPr>
            </xdr:nvSpPr>
            <xdr:spPr>
              <a:xfrm>
                <a:off x="57" y="46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5" name="Line 134"/>
              <xdr:cNvSpPr>
                <a:spLocks/>
              </xdr:cNvSpPr>
            </xdr:nvSpPr>
            <xdr:spPr>
              <a:xfrm>
                <a:off x="76" y="46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6" name="Line 135"/>
              <xdr:cNvSpPr>
                <a:spLocks/>
              </xdr:cNvSpPr>
            </xdr:nvSpPr>
            <xdr:spPr>
              <a:xfrm>
                <a:off x="95" y="46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7" name="Line 136"/>
              <xdr:cNvSpPr>
                <a:spLocks/>
              </xdr:cNvSpPr>
            </xdr:nvSpPr>
            <xdr:spPr>
              <a:xfrm>
                <a:off x="114" y="46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stealth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28" name="Line 137"/>
            <xdr:cNvSpPr>
              <a:spLocks/>
            </xdr:cNvSpPr>
          </xdr:nvSpPr>
          <xdr:spPr>
            <a:xfrm>
              <a:off x="11" y="815"/>
              <a:ext cx="25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" name="Line 139"/>
            <xdr:cNvSpPr>
              <a:spLocks/>
            </xdr:cNvSpPr>
          </xdr:nvSpPr>
          <xdr:spPr>
            <a:xfrm>
              <a:off x="124" y="815"/>
              <a:ext cx="0" cy="3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30" name="Group 147"/>
          <xdr:cNvGrpSpPr>
            <a:grpSpLocks/>
          </xdr:cNvGrpSpPr>
        </xdr:nvGrpSpPr>
        <xdr:grpSpPr>
          <a:xfrm>
            <a:off x="45" y="809"/>
            <a:ext cx="190" cy="149"/>
            <a:chOff x="45" y="809"/>
            <a:chExt cx="190" cy="149"/>
          </a:xfrm>
          <a:solidFill>
            <a:srgbClr val="FFFFFF"/>
          </a:solidFill>
        </xdr:grpSpPr>
        <xdr:sp>
          <xdr:nvSpPr>
            <xdr:cNvPr id="131" name="Line 140"/>
            <xdr:cNvSpPr>
              <a:spLocks/>
            </xdr:cNvSpPr>
          </xdr:nvSpPr>
          <xdr:spPr>
            <a:xfrm>
              <a:off x="45" y="951"/>
              <a:ext cx="15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" name="Line 141"/>
            <xdr:cNvSpPr>
              <a:spLocks/>
            </xdr:cNvSpPr>
          </xdr:nvSpPr>
          <xdr:spPr>
            <a:xfrm>
              <a:off x="228" y="809"/>
              <a:ext cx="0" cy="1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" name="Line 142"/>
            <xdr:cNvSpPr>
              <a:spLocks/>
            </xdr:cNvSpPr>
          </xdr:nvSpPr>
          <xdr:spPr>
            <a:xfrm>
              <a:off x="57" y="944"/>
              <a:ext cx="0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" name="Line 143"/>
            <xdr:cNvSpPr>
              <a:spLocks/>
            </xdr:cNvSpPr>
          </xdr:nvSpPr>
          <xdr:spPr>
            <a:xfrm>
              <a:off x="124" y="945"/>
              <a:ext cx="0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" name="Line 144"/>
            <xdr:cNvSpPr>
              <a:spLocks/>
            </xdr:cNvSpPr>
          </xdr:nvSpPr>
          <xdr:spPr>
            <a:xfrm>
              <a:off x="190" y="944"/>
              <a:ext cx="0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" name="Line 145"/>
            <xdr:cNvSpPr>
              <a:spLocks/>
            </xdr:cNvSpPr>
          </xdr:nvSpPr>
          <xdr:spPr>
            <a:xfrm>
              <a:off x="222" y="9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" name="Line 146"/>
            <xdr:cNvSpPr>
              <a:spLocks/>
            </xdr:cNvSpPr>
          </xdr:nvSpPr>
          <xdr:spPr>
            <a:xfrm>
              <a:off x="222" y="81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20"/>
  <sheetViews>
    <sheetView tabSelected="1" workbookViewId="0" topLeftCell="D85">
      <pane xSplit="10080" ySplit="5220" topLeftCell="AE119" activePane="topLeft" state="split"/>
      <selection pane="topLeft" activeCell="Q91" sqref="Q91"/>
      <selection pane="bottomLeft" activeCell="AG115" sqref="AG115:AI115"/>
      <selection pane="topRight" activeCell="AB91" sqref="AB91"/>
      <selection pane="bottomRight" activeCell="AW121" sqref="AW121"/>
    </sheetView>
  </sheetViews>
  <sheetFormatPr defaultColWidth="9.00390625" defaultRowHeight="12.75"/>
  <cols>
    <col min="1" max="16384" width="2.75390625" style="0" customWidth="1"/>
  </cols>
  <sheetData>
    <row r="1" ht="12.75">
      <c r="C1" t="s">
        <v>63</v>
      </c>
    </row>
    <row r="3" spans="3:35" ht="12.75" customHeight="1">
      <c r="C3" t="s">
        <v>0</v>
      </c>
      <c r="E3" t="s">
        <v>1</v>
      </c>
      <c r="J3" t="s">
        <v>2</v>
      </c>
      <c r="L3" t="s">
        <v>3</v>
      </c>
      <c r="P3" t="s">
        <v>4</v>
      </c>
      <c r="R3" t="s">
        <v>5</v>
      </c>
      <c r="U3" s="33" t="s">
        <v>9</v>
      </c>
      <c r="V3" s="33"/>
      <c r="W3" s="32">
        <v>2</v>
      </c>
      <c r="X3" s="32"/>
      <c r="Y3" s="32"/>
      <c r="Z3" s="33" t="s">
        <v>51</v>
      </c>
      <c r="AA3" s="33"/>
      <c r="AC3" s="12" t="s">
        <v>12</v>
      </c>
      <c r="AD3" s="12"/>
      <c r="AE3" s="32">
        <v>0</v>
      </c>
      <c r="AF3" s="32"/>
      <c r="AG3" s="32"/>
      <c r="AH3" s="33" t="s">
        <v>55</v>
      </c>
      <c r="AI3" s="33"/>
    </row>
    <row r="4" spans="21:35" ht="12.75" customHeight="1">
      <c r="U4" s="33" t="s">
        <v>10</v>
      </c>
      <c r="V4" s="33"/>
      <c r="W4" s="32">
        <v>6</v>
      </c>
      <c r="X4" s="32"/>
      <c r="Y4" s="32"/>
      <c r="Z4" s="33" t="s">
        <v>51</v>
      </c>
      <c r="AA4" s="33"/>
      <c r="AC4" s="12" t="s">
        <v>13</v>
      </c>
      <c r="AD4" s="12"/>
      <c r="AE4" s="32">
        <v>0</v>
      </c>
      <c r="AF4" s="32"/>
      <c r="AG4" s="32"/>
      <c r="AH4" s="33" t="s">
        <v>55</v>
      </c>
      <c r="AI4" s="33"/>
    </row>
    <row r="5" spans="1:35" ht="12.75" customHeight="1">
      <c r="A5" t="s">
        <v>22</v>
      </c>
      <c r="S5" t="s">
        <v>21</v>
      </c>
      <c r="U5" s="33" t="s">
        <v>11</v>
      </c>
      <c r="V5" s="33"/>
      <c r="W5" s="32">
        <v>1.5</v>
      </c>
      <c r="X5" s="32"/>
      <c r="Y5" s="32"/>
      <c r="Z5" s="33" t="s">
        <v>51</v>
      </c>
      <c r="AA5" s="33"/>
      <c r="AC5" s="12" t="s">
        <v>14</v>
      </c>
      <c r="AD5" s="12"/>
      <c r="AE5" s="32">
        <v>0</v>
      </c>
      <c r="AF5" s="32"/>
      <c r="AG5" s="32"/>
      <c r="AH5" s="33" t="s">
        <v>55</v>
      </c>
      <c r="AI5" s="33"/>
    </row>
    <row r="6" spans="3:35" ht="12.75" customHeight="1">
      <c r="C6" s="1">
        <v>1</v>
      </c>
      <c r="F6" s="1" t="s">
        <v>18</v>
      </c>
      <c r="J6" s="1" t="s">
        <v>20</v>
      </c>
      <c r="O6" s="1" t="s">
        <v>19</v>
      </c>
      <c r="Q6" s="1">
        <v>2</v>
      </c>
      <c r="U6" s="11">
        <f>W4</f>
        <v>6</v>
      </c>
      <c r="V6" s="10"/>
      <c r="W6" s="49">
        <f>IF(W4=0,"NA NE SZÓRAKOZZ VELEM!","")</f>
      </c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</row>
    <row r="7" spans="6:35" ht="12.75" customHeight="1">
      <c r="F7" s="1"/>
      <c r="O7" s="1"/>
      <c r="U7" s="12" t="s">
        <v>15</v>
      </c>
      <c r="V7" s="12"/>
      <c r="W7" s="32">
        <v>10</v>
      </c>
      <c r="X7" s="32"/>
      <c r="Y7" s="32"/>
      <c r="Z7" s="33" t="s">
        <v>54</v>
      </c>
      <c r="AA7" s="33"/>
      <c r="AC7" s="12" t="s">
        <v>23</v>
      </c>
      <c r="AD7" s="12"/>
      <c r="AE7" s="32">
        <v>0</v>
      </c>
      <c r="AF7" s="32"/>
      <c r="AG7" s="32"/>
      <c r="AH7" s="33" t="s">
        <v>56</v>
      </c>
      <c r="AI7" s="33"/>
    </row>
    <row r="8" spans="4:35" ht="12" customHeight="1">
      <c r="D8" t="s">
        <v>6</v>
      </c>
      <c r="G8" t="s">
        <v>7</v>
      </c>
      <c r="L8" t="s">
        <v>7</v>
      </c>
      <c r="P8" t="s">
        <v>8</v>
      </c>
      <c r="U8" s="12" t="s">
        <v>16</v>
      </c>
      <c r="V8" s="12"/>
      <c r="W8" s="32">
        <v>5</v>
      </c>
      <c r="X8" s="32"/>
      <c r="Y8" s="32"/>
      <c r="Z8" s="33" t="s">
        <v>54</v>
      </c>
      <c r="AA8" s="33"/>
      <c r="AC8" s="12" t="s">
        <v>24</v>
      </c>
      <c r="AD8" s="12"/>
      <c r="AE8" s="32">
        <v>0</v>
      </c>
      <c r="AF8" s="32"/>
      <c r="AG8" s="32"/>
      <c r="AH8" s="33" t="s">
        <v>56</v>
      </c>
      <c r="AI8" s="33"/>
    </row>
    <row r="9" spans="21:35" ht="12" customHeight="1">
      <c r="U9" s="12" t="s">
        <v>17</v>
      </c>
      <c r="V9" s="12"/>
      <c r="W9" s="32">
        <v>0</v>
      </c>
      <c r="X9" s="32"/>
      <c r="Y9" s="32"/>
      <c r="Z9" s="33" t="s">
        <v>54</v>
      </c>
      <c r="AA9" s="33"/>
      <c r="AC9" s="13" t="s">
        <v>48</v>
      </c>
      <c r="AD9" s="13"/>
      <c r="AE9" s="34">
        <v>61800</v>
      </c>
      <c r="AF9" s="34"/>
      <c r="AG9" s="34"/>
      <c r="AH9" s="35" t="s">
        <v>52</v>
      </c>
      <c r="AI9" s="35"/>
    </row>
    <row r="10" ht="12.75" hidden="1">
      <c r="A10" t="s">
        <v>31</v>
      </c>
    </row>
    <row r="11" spans="3:38" ht="15.75" hidden="1">
      <c r="C11">
        <v>1</v>
      </c>
      <c r="F11" t="s">
        <v>18</v>
      </c>
      <c r="J11" t="s">
        <v>20</v>
      </c>
      <c r="N11" t="s">
        <v>19</v>
      </c>
      <c r="Q11">
        <v>2</v>
      </c>
      <c r="V11" s="30" t="s">
        <v>25</v>
      </c>
      <c r="W11" s="30"/>
      <c r="X11" s="30"/>
      <c r="Y11" s="30" t="s">
        <v>26</v>
      </c>
      <c r="Z11" s="30"/>
      <c r="AA11" s="30"/>
      <c r="AB11" s="30" t="s">
        <v>29</v>
      </c>
      <c r="AC11" s="30"/>
      <c r="AD11" s="30"/>
      <c r="AE11" s="30" t="s">
        <v>27</v>
      </c>
      <c r="AF11" s="30"/>
      <c r="AG11" s="30"/>
      <c r="AH11" s="30" t="s">
        <v>28</v>
      </c>
      <c r="AI11" s="30"/>
      <c r="AJ11" s="30"/>
      <c r="AL11">
        <v>2</v>
      </c>
    </row>
    <row r="12" spans="1:39" ht="15.75" hidden="1">
      <c r="A12" t="s">
        <v>22</v>
      </c>
      <c r="B12" s="29">
        <f>AE7</f>
        <v>0</v>
      </c>
      <c r="C12" s="29"/>
      <c r="D12" s="29"/>
      <c r="E12" s="29">
        <f>AE7</f>
        <v>0</v>
      </c>
      <c r="F12" s="29"/>
      <c r="G12" s="29"/>
      <c r="H12" s="2"/>
      <c r="I12" s="29">
        <f>AE7/2</f>
        <v>0</v>
      </c>
      <c r="J12" s="29"/>
      <c r="K12" s="29"/>
      <c r="M12" s="29">
        <v>0</v>
      </c>
      <c r="N12" s="29"/>
      <c r="O12" s="29"/>
      <c r="P12" s="29">
        <v>0</v>
      </c>
      <c r="Q12" s="29"/>
      <c r="R12" s="29"/>
      <c r="S12" s="2"/>
      <c r="T12" s="2"/>
      <c r="U12" s="2"/>
      <c r="V12" s="29">
        <f aca="true" t="shared" si="0" ref="V12:V19">E12*$W$3/AL12</f>
        <v>0</v>
      </c>
      <c r="W12" s="29"/>
      <c r="X12" s="29"/>
      <c r="Y12" s="29">
        <f>(E12+M12)/2*$U$6*3/4</f>
        <v>0</v>
      </c>
      <c r="Z12" s="29"/>
      <c r="AA12" s="29"/>
      <c r="AB12" s="29">
        <f>(E12+M12)/2*$U$6</f>
        <v>0</v>
      </c>
      <c r="AC12" s="29"/>
      <c r="AD12" s="29"/>
      <c r="AE12" s="29">
        <f>I12*$U$6/4</f>
        <v>0</v>
      </c>
      <c r="AF12" s="29"/>
      <c r="AG12" s="29"/>
      <c r="AH12" s="29">
        <f aca="true" t="shared" si="1" ref="AH12:AH19">M12*$W$5/AL12</f>
        <v>0</v>
      </c>
      <c r="AI12" s="29"/>
      <c r="AJ12" s="29"/>
      <c r="AL12" s="5">
        <v>1</v>
      </c>
      <c r="AM12" s="5"/>
    </row>
    <row r="13" spans="1:39" ht="15.75" hidden="1">
      <c r="A13" t="s">
        <v>0</v>
      </c>
      <c r="B13" s="29">
        <v>0</v>
      </c>
      <c r="C13" s="29"/>
      <c r="D13" s="29"/>
      <c r="E13" s="29">
        <f>-AE3*W3</f>
        <v>0</v>
      </c>
      <c r="F13" s="29"/>
      <c r="G13" s="29"/>
      <c r="H13" s="2"/>
      <c r="I13" s="29">
        <f>-AE3*W3/2</f>
        <v>0</v>
      </c>
      <c r="J13" s="29"/>
      <c r="K13" s="29"/>
      <c r="M13" s="29">
        <v>0</v>
      </c>
      <c r="N13" s="29"/>
      <c r="O13" s="29"/>
      <c r="P13" s="29">
        <v>0</v>
      </c>
      <c r="Q13" s="29"/>
      <c r="R13" s="29"/>
      <c r="S13" s="2"/>
      <c r="T13" s="2"/>
      <c r="U13" s="2"/>
      <c r="V13" s="29">
        <f t="shared" si="0"/>
        <v>0</v>
      </c>
      <c r="W13" s="29"/>
      <c r="X13" s="29"/>
      <c r="Y13" s="29">
        <f>(E13+M13)/2*$U$6*3/4</f>
        <v>0</v>
      </c>
      <c r="Z13" s="29"/>
      <c r="AA13" s="29"/>
      <c r="AB13" s="29">
        <f>(E13+M13)/2*$U$6</f>
        <v>0</v>
      </c>
      <c r="AC13" s="29"/>
      <c r="AD13" s="29"/>
      <c r="AE13" s="29">
        <f>I13*$U$6/4</f>
        <v>0</v>
      </c>
      <c r="AF13" s="29"/>
      <c r="AG13" s="29"/>
      <c r="AH13" s="29">
        <f t="shared" si="1"/>
        <v>0</v>
      </c>
      <c r="AI13" s="29"/>
      <c r="AJ13" s="29"/>
      <c r="AL13" s="5">
        <v>2</v>
      </c>
      <c r="AM13" s="5"/>
    </row>
    <row r="14" spans="1:39" ht="15.75" hidden="1">
      <c r="A14" t="s">
        <v>1</v>
      </c>
      <c r="B14" s="29">
        <v>0</v>
      </c>
      <c r="C14" s="29"/>
      <c r="D14" s="29"/>
      <c r="E14" s="29">
        <f>-W7*W3*W3/2</f>
        <v>-20</v>
      </c>
      <c r="F14" s="29"/>
      <c r="G14" s="29"/>
      <c r="H14" s="2"/>
      <c r="I14" s="29">
        <f>-W7*W3*W3/4</f>
        <v>-10</v>
      </c>
      <c r="J14" s="29"/>
      <c r="K14" s="29"/>
      <c r="M14" s="29">
        <v>0</v>
      </c>
      <c r="N14" s="29"/>
      <c r="O14" s="29"/>
      <c r="P14" s="29">
        <v>0</v>
      </c>
      <c r="Q14" s="29"/>
      <c r="R14" s="29"/>
      <c r="S14" s="2"/>
      <c r="T14" s="2"/>
      <c r="U14" s="2"/>
      <c r="V14" s="29">
        <f t="shared" si="0"/>
        <v>-13.333333333333334</v>
      </c>
      <c r="W14" s="29"/>
      <c r="X14" s="29"/>
      <c r="Y14" s="29">
        <f>(E14+M14)/2*$U$6*3/4</f>
        <v>-45</v>
      </c>
      <c r="Z14" s="29"/>
      <c r="AA14" s="29"/>
      <c r="AB14" s="29">
        <f>(E14+M14)/2*$U$6</f>
        <v>-60</v>
      </c>
      <c r="AC14" s="29"/>
      <c r="AD14" s="29"/>
      <c r="AE14" s="29">
        <f>I14*$U$6/4</f>
        <v>-15</v>
      </c>
      <c r="AF14" s="29"/>
      <c r="AG14" s="29"/>
      <c r="AH14" s="29">
        <f t="shared" si="1"/>
        <v>0</v>
      </c>
      <c r="AI14" s="29"/>
      <c r="AJ14" s="29"/>
      <c r="AL14" s="5">
        <v>3</v>
      </c>
      <c r="AM14" s="5"/>
    </row>
    <row r="15" spans="1:39" ht="15.75" hidden="1">
      <c r="A15" t="s">
        <v>2</v>
      </c>
      <c r="B15" s="29">
        <v>0</v>
      </c>
      <c r="C15" s="29"/>
      <c r="D15" s="29"/>
      <c r="E15" s="29">
        <v>0</v>
      </c>
      <c r="F15" s="29"/>
      <c r="G15" s="29"/>
      <c r="H15" s="2"/>
      <c r="I15" s="29">
        <f>AE4*U6/4</f>
        <v>0</v>
      </c>
      <c r="J15" s="29"/>
      <c r="K15" s="29"/>
      <c r="M15" s="29">
        <v>0</v>
      </c>
      <c r="N15" s="29"/>
      <c r="O15" s="29"/>
      <c r="P15" s="29">
        <v>0</v>
      </c>
      <c r="Q15" s="29"/>
      <c r="R15" s="29"/>
      <c r="S15" s="2"/>
      <c r="T15" s="2"/>
      <c r="U15" s="2"/>
      <c r="V15" s="29">
        <f t="shared" si="0"/>
        <v>0</v>
      </c>
      <c r="W15" s="29"/>
      <c r="X15" s="29"/>
      <c r="Y15" s="29">
        <f>I15*$U$6/4</f>
        <v>0</v>
      </c>
      <c r="Z15" s="29"/>
      <c r="AA15" s="29"/>
      <c r="AB15" s="29">
        <f>I15*$U$6/2</f>
        <v>0</v>
      </c>
      <c r="AC15" s="29"/>
      <c r="AD15" s="29"/>
      <c r="AE15" s="29">
        <f>I15*$U$6/4</f>
        <v>0</v>
      </c>
      <c r="AF15" s="29"/>
      <c r="AG15" s="29"/>
      <c r="AH15" s="29">
        <f t="shared" si="1"/>
        <v>0</v>
      </c>
      <c r="AI15" s="29"/>
      <c r="AJ15" s="29"/>
      <c r="AL15" s="5">
        <v>2</v>
      </c>
      <c r="AM15" s="5"/>
    </row>
    <row r="16" spans="1:39" ht="15.75" hidden="1">
      <c r="A16" t="s">
        <v>3</v>
      </c>
      <c r="B16" s="29">
        <v>0</v>
      </c>
      <c r="C16" s="29"/>
      <c r="D16" s="29"/>
      <c r="E16" s="29">
        <v>0</v>
      </c>
      <c r="F16" s="29"/>
      <c r="G16" s="29"/>
      <c r="H16" s="2"/>
      <c r="I16" s="29">
        <f>W8*U6*U6/8</f>
        <v>22.5</v>
      </c>
      <c r="J16" s="29"/>
      <c r="K16" s="29"/>
      <c r="M16" s="29">
        <v>0</v>
      </c>
      <c r="N16" s="29"/>
      <c r="O16" s="29"/>
      <c r="P16" s="29">
        <v>0</v>
      </c>
      <c r="Q16" s="29"/>
      <c r="R16" s="29"/>
      <c r="S16" s="2"/>
      <c r="T16" s="2"/>
      <c r="U16" s="2"/>
      <c r="V16" s="29">
        <f t="shared" si="0"/>
        <v>0</v>
      </c>
      <c r="W16" s="29"/>
      <c r="X16" s="29"/>
      <c r="Y16" s="29">
        <f>I16*$U$6/2*2/3</f>
        <v>45</v>
      </c>
      <c r="Z16" s="29"/>
      <c r="AA16" s="29"/>
      <c r="AB16" s="29">
        <f>I16*$U$6*2/3</f>
        <v>90</v>
      </c>
      <c r="AC16" s="29"/>
      <c r="AD16" s="29"/>
      <c r="AE16" s="29">
        <f>I16*$U$6/2*2/3</f>
        <v>45</v>
      </c>
      <c r="AF16" s="29"/>
      <c r="AG16" s="29"/>
      <c r="AH16" s="29">
        <f t="shared" si="1"/>
        <v>0</v>
      </c>
      <c r="AI16" s="29"/>
      <c r="AJ16" s="29"/>
      <c r="AL16" s="5">
        <v>3</v>
      </c>
      <c r="AM16" s="5"/>
    </row>
    <row r="17" spans="1:39" ht="15.75" hidden="1">
      <c r="A17" t="s">
        <v>4</v>
      </c>
      <c r="B17" s="29">
        <v>0</v>
      </c>
      <c r="C17" s="29"/>
      <c r="D17" s="29"/>
      <c r="E17" s="29">
        <v>0</v>
      </c>
      <c r="F17" s="29"/>
      <c r="G17" s="29"/>
      <c r="H17" s="2"/>
      <c r="I17" s="29">
        <f>-W9*W5*W5/4</f>
        <v>0</v>
      </c>
      <c r="J17" s="29"/>
      <c r="K17" s="29"/>
      <c r="M17" s="29">
        <f>-W9*W5*W5/2</f>
        <v>0</v>
      </c>
      <c r="N17" s="29"/>
      <c r="O17" s="29"/>
      <c r="P17" s="29">
        <v>0</v>
      </c>
      <c r="Q17" s="29"/>
      <c r="R17" s="29"/>
      <c r="S17" s="2"/>
      <c r="T17" s="2"/>
      <c r="U17" s="2"/>
      <c r="V17" s="29">
        <f t="shared" si="0"/>
        <v>0</v>
      </c>
      <c r="W17" s="29"/>
      <c r="X17" s="29"/>
      <c r="Y17" s="29">
        <f>I17*$U$6/4</f>
        <v>0</v>
      </c>
      <c r="Z17" s="29"/>
      <c r="AA17" s="29"/>
      <c r="AB17" s="29">
        <f>(E17+M17)/2*$U$6</f>
        <v>0</v>
      </c>
      <c r="AC17" s="29"/>
      <c r="AD17" s="29"/>
      <c r="AE17" s="29">
        <f>(E17+M17)/2*$U$6*3/4</f>
        <v>0</v>
      </c>
      <c r="AF17" s="29"/>
      <c r="AG17" s="29"/>
      <c r="AH17" s="29">
        <f t="shared" si="1"/>
        <v>0</v>
      </c>
      <c r="AI17" s="29"/>
      <c r="AJ17" s="29"/>
      <c r="AL17" s="5">
        <v>3</v>
      </c>
      <c r="AM17" s="5"/>
    </row>
    <row r="18" spans="1:39" ht="15.75" hidden="1">
      <c r="A18" t="s">
        <v>5</v>
      </c>
      <c r="B18" s="29">
        <v>0</v>
      </c>
      <c r="C18" s="29"/>
      <c r="D18" s="29"/>
      <c r="E18" s="29">
        <v>0</v>
      </c>
      <c r="F18" s="29"/>
      <c r="G18" s="29"/>
      <c r="H18" s="2"/>
      <c r="I18" s="29">
        <f>-AE5*W5/2</f>
        <v>0</v>
      </c>
      <c r="J18" s="29"/>
      <c r="K18" s="29"/>
      <c r="M18" s="29">
        <f>-AE5*W5</f>
        <v>0</v>
      </c>
      <c r="N18" s="29"/>
      <c r="O18" s="29"/>
      <c r="P18" s="29">
        <v>0</v>
      </c>
      <c r="Q18" s="29"/>
      <c r="R18" s="29"/>
      <c r="S18" s="2"/>
      <c r="T18" s="2"/>
      <c r="U18" s="2"/>
      <c r="V18" s="29">
        <f t="shared" si="0"/>
        <v>0</v>
      </c>
      <c r="W18" s="29"/>
      <c r="X18" s="29"/>
      <c r="Y18" s="29">
        <f>I18*$U$6/4</f>
        <v>0</v>
      </c>
      <c r="Z18" s="29"/>
      <c r="AA18" s="29"/>
      <c r="AB18" s="29">
        <f>(E18+M18)/2*$U$6</f>
        <v>0</v>
      </c>
      <c r="AC18" s="29"/>
      <c r="AD18" s="29"/>
      <c r="AE18" s="29">
        <f>(E18+M18)/2*$U$6*3/4</f>
        <v>0</v>
      </c>
      <c r="AF18" s="29"/>
      <c r="AG18" s="29"/>
      <c r="AH18" s="29">
        <f t="shared" si="1"/>
        <v>0</v>
      </c>
      <c r="AI18" s="29"/>
      <c r="AJ18" s="29"/>
      <c r="AL18" s="5">
        <v>2</v>
      </c>
      <c r="AM18" s="5"/>
    </row>
    <row r="19" spans="1:39" ht="15.75" hidden="1">
      <c r="A19" t="s">
        <v>21</v>
      </c>
      <c r="B19" s="29">
        <v>0</v>
      </c>
      <c r="C19" s="29"/>
      <c r="D19" s="29"/>
      <c r="E19" s="29">
        <v>0</v>
      </c>
      <c r="F19" s="29"/>
      <c r="G19" s="29"/>
      <c r="H19" s="2"/>
      <c r="I19" s="29">
        <f>-AE8/2</f>
        <v>0</v>
      </c>
      <c r="J19" s="29"/>
      <c r="K19" s="29"/>
      <c r="M19" s="29">
        <f>-AE8</f>
        <v>0</v>
      </c>
      <c r="N19" s="29"/>
      <c r="O19" s="29"/>
      <c r="P19" s="29">
        <f>-AE8</f>
        <v>0</v>
      </c>
      <c r="Q19" s="29"/>
      <c r="R19" s="29"/>
      <c r="S19" s="2"/>
      <c r="T19" s="2"/>
      <c r="U19" s="2"/>
      <c r="V19" s="29">
        <f t="shared" si="0"/>
        <v>0</v>
      </c>
      <c r="W19" s="29"/>
      <c r="X19" s="29"/>
      <c r="Y19" s="29">
        <f>I19*$U$6/4</f>
        <v>0</v>
      </c>
      <c r="Z19" s="29"/>
      <c r="AA19" s="29"/>
      <c r="AB19" s="29">
        <f>(E19+M19)/2*$U$6</f>
        <v>0</v>
      </c>
      <c r="AC19" s="29"/>
      <c r="AD19" s="29"/>
      <c r="AE19" s="29">
        <f>(E19+M19)/2*$U$6*3/4</f>
        <v>0</v>
      </c>
      <c r="AF19" s="29"/>
      <c r="AG19" s="29"/>
      <c r="AH19" s="29">
        <f t="shared" si="1"/>
        <v>0</v>
      </c>
      <c r="AI19" s="29"/>
      <c r="AJ19" s="29"/>
      <c r="AL19" s="5">
        <v>1</v>
      </c>
      <c r="AM19" s="5"/>
    </row>
    <row r="20" spans="2:39" ht="12.75" hidden="1">
      <c r="B20" s="2"/>
      <c r="C20" s="2"/>
      <c r="D20" s="2"/>
      <c r="E20" s="2"/>
      <c r="F20" s="2"/>
      <c r="G20" s="2"/>
      <c r="H20" s="2"/>
      <c r="I20" s="2"/>
      <c r="J20" s="2"/>
      <c r="K20" s="2"/>
      <c r="M20" s="2"/>
      <c r="N20" s="2"/>
      <c r="O20" s="2"/>
      <c r="P20" s="2"/>
      <c r="Q20" s="2"/>
      <c r="R20" s="2"/>
      <c r="S20" s="2"/>
      <c r="T20" s="2"/>
      <c r="U20" s="2"/>
      <c r="V20" s="29">
        <f>SUM(V12:X19)</f>
        <v>-13.333333333333334</v>
      </c>
      <c r="W20" s="29"/>
      <c r="X20" s="29"/>
      <c r="Y20" s="29">
        <f>SUM(Y12:AA19)</f>
        <v>0</v>
      </c>
      <c r="Z20" s="29"/>
      <c r="AA20" s="29"/>
      <c r="AB20" s="29">
        <f>SUM(AB12:AD19)</f>
        <v>30</v>
      </c>
      <c r="AC20" s="29"/>
      <c r="AD20" s="29"/>
      <c r="AE20" s="29">
        <f>SUM(AE12:AG19)</f>
        <v>30</v>
      </c>
      <c r="AF20" s="29"/>
      <c r="AG20" s="29"/>
      <c r="AH20" s="29">
        <f>SUM(AH12:AJ19)</f>
        <v>0</v>
      </c>
      <c r="AI20" s="29"/>
      <c r="AJ20" s="29"/>
      <c r="AL20" s="5"/>
      <c r="AM20" s="5"/>
    </row>
    <row r="21" spans="2:37" ht="12.75">
      <c r="B21" s="2"/>
      <c r="C21" s="2"/>
      <c r="D21" s="2"/>
      <c r="E21" s="2"/>
      <c r="F21" s="2"/>
      <c r="G21" s="2"/>
      <c r="H21" s="2"/>
      <c r="I21" s="2"/>
      <c r="J21" s="2"/>
      <c r="K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F21" s="2"/>
      <c r="AG21" s="2"/>
      <c r="AH21" s="2"/>
      <c r="AJ21" s="5"/>
      <c r="AK21" s="5"/>
    </row>
    <row r="22" spans="2:37" ht="15.75">
      <c r="B22" s="2"/>
      <c r="C22" s="42" t="s">
        <v>61</v>
      </c>
      <c r="D22" s="42"/>
      <c r="E22" s="42"/>
      <c r="F22" s="52">
        <f>((AB12+AB13+AB14)*U6*2/3+(AB15+AB16)*U6/2+(AB17+AB18+AB19)*U6/3)/U6</f>
        <v>5</v>
      </c>
      <c r="G22" s="52"/>
      <c r="H22" s="52"/>
      <c r="I22" s="2"/>
      <c r="J22" s="2"/>
      <c r="K22" s="42" t="s">
        <v>62</v>
      </c>
      <c r="L22" s="42"/>
      <c r="M22" s="42"/>
      <c r="N22" s="52">
        <f>-((AB12+AB13+AB14)*U6/3+(AB15+AB16)*U6/2+(AB17+AB18+AB19)*U6*2/3)/U6</f>
        <v>-25</v>
      </c>
      <c r="O22" s="52"/>
      <c r="P22" s="52"/>
      <c r="Q22" s="2"/>
      <c r="R22" s="14" t="s">
        <v>64</v>
      </c>
      <c r="S22" s="2"/>
      <c r="T22" s="2"/>
      <c r="V22" s="2"/>
      <c r="W22" s="2"/>
      <c r="X22" s="2"/>
      <c r="Y22" s="2"/>
      <c r="Z22" s="2"/>
      <c r="AA22" s="2"/>
      <c r="AB22" s="2"/>
      <c r="AC22" s="2"/>
      <c r="AD22" s="2"/>
      <c r="AE22" s="50" t="s">
        <v>65</v>
      </c>
      <c r="AF22" s="50"/>
      <c r="AG22" s="50"/>
      <c r="AH22" s="2"/>
      <c r="AI22" s="16" t="b">
        <f>IF(AE22="igen",TRUE)</f>
        <v>0</v>
      </c>
      <c r="AJ22" s="5"/>
      <c r="AK22" s="5"/>
    </row>
    <row r="23" spans="2:37" ht="15.75" customHeight="1">
      <c r="B23" s="2"/>
      <c r="D23" t="s">
        <v>30</v>
      </c>
      <c r="L23" s="29">
        <f>N22-F22+SUM(AB12:AD19)</f>
        <v>0</v>
      </c>
      <c r="M23" s="29"/>
      <c r="N23" s="29"/>
      <c r="O23" s="29"/>
      <c r="P23" s="29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F23" s="2"/>
      <c r="AG23" s="2"/>
      <c r="AH23" s="2"/>
      <c r="AJ23" s="5"/>
      <c r="AK23" s="5"/>
    </row>
    <row r="24" spans="1:37" ht="12.75" hidden="1">
      <c r="A24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F24" s="2"/>
      <c r="AG24" s="2"/>
      <c r="AH24" s="2"/>
      <c r="AJ24" s="5"/>
      <c r="AK24" s="5"/>
    </row>
    <row r="25" spans="2:88" ht="15.75" customHeight="1" hidden="1">
      <c r="B25" s="51" t="s">
        <v>34</v>
      </c>
      <c r="C25" s="51"/>
      <c r="D25" s="51"/>
      <c r="E25" s="51" t="s">
        <v>33</v>
      </c>
      <c r="F25" s="51"/>
      <c r="G25" s="51"/>
      <c r="H25" s="29" t="s">
        <v>35</v>
      </c>
      <c r="I25" s="29"/>
      <c r="J25" s="29"/>
      <c r="K25" s="51" t="s">
        <v>33</v>
      </c>
      <c r="L25" s="51"/>
      <c r="M25" s="51"/>
      <c r="N25" s="29" t="s">
        <v>36</v>
      </c>
      <c r="O25" s="29"/>
      <c r="P25" s="29"/>
      <c r="Q25" s="51" t="s">
        <v>37</v>
      </c>
      <c r="R25" s="51"/>
      <c r="S25" s="51"/>
      <c r="T25" s="29" t="s">
        <v>38</v>
      </c>
      <c r="U25" s="29"/>
      <c r="V25" s="29"/>
      <c r="W25" s="51" t="s">
        <v>39</v>
      </c>
      <c r="X25" s="51"/>
      <c r="Y25" s="51"/>
      <c r="Z25" s="29" t="s">
        <v>40</v>
      </c>
      <c r="AA25" s="29"/>
      <c r="AB25" s="29"/>
      <c r="AC25" s="51" t="s">
        <v>41</v>
      </c>
      <c r="AD25" s="51"/>
      <c r="AE25" s="51"/>
      <c r="AF25" s="29" t="s">
        <v>35</v>
      </c>
      <c r="AG25" s="29"/>
      <c r="AH25" s="29"/>
      <c r="AI25" s="51" t="s">
        <v>42</v>
      </c>
      <c r="AJ25" s="51"/>
      <c r="AK25" s="51"/>
      <c r="AL25" s="29" t="s">
        <v>38</v>
      </c>
      <c r="AM25" s="29"/>
      <c r="AN25" s="29"/>
      <c r="AO25" s="51" t="s">
        <v>33</v>
      </c>
      <c r="AP25" s="51"/>
      <c r="AQ25" s="51"/>
      <c r="AR25" s="29" t="s">
        <v>43</v>
      </c>
      <c r="AS25" s="29"/>
      <c r="AT25" s="29"/>
      <c r="AU25" s="51" t="s">
        <v>33</v>
      </c>
      <c r="AV25" s="51"/>
      <c r="AW25" s="51"/>
      <c r="AX25" s="51" t="s">
        <v>44</v>
      </c>
      <c r="AY25" s="51"/>
      <c r="AZ25" s="51"/>
      <c r="BA25" s="29" t="s">
        <v>40</v>
      </c>
      <c r="BB25" s="29"/>
      <c r="BC25" s="29"/>
      <c r="BD25" s="2"/>
      <c r="BE25" s="2"/>
      <c r="BF25" s="2"/>
      <c r="BG25" s="4"/>
      <c r="BH25" s="4"/>
      <c r="BI25" s="4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I25" s="5"/>
      <c r="CJ25" s="5"/>
    </row>
    <row r="26" spans="1:88" ht="15.75" customHeight="1" hidden="1">
      <c r="A26" t="s">
        <v>22</v>
      </c>
      <c r="B26" s="29">
        <f>$W$3/($AL12+1)</f>
        <v>1</v>
      </c>
      <c r="C26" s="29"/>
      <c r="D26" s="29"/>
      <c r="E26" s="29">
        <f>$W$3+$U$6/3</f>
        <v>4</v>
      </c>
      <c r="F26" s="29"/>
      <c r="G26" s="29"/>
      <c r="H26" s="29">
        <f aca="true" t="shared" si="2" ref="H26:H33">-(V12*B26+AB12*E26)</f>
        <v>0</v>
      </c>
      <c r="I26" s="29"/>
      <c r="J26" s="29"/>
      <c r="K26" s="29">
        <f>$U$6/3</f>
        <v>2</v>
      </c>
      <c r="L26" s="29"/>
      <c r="M26" s="29"/>
      <c r="N26" s="51">
        <f aca="true" t="shared" si="3" ref="N26:N33">-(AB12*K26)</f>
        <v>0</v>
      </c>
      <c r="O26" s="51"/>
      <c r="P26" s="51"/>
      <c r="Q26" s="29">
        <f>$U$6/2/3</f>
        <v>1</v>
      </c>
      <c r="R26" s="29"/>
      <c r="S26" s="29"/>
      <c r="T26" s="29">
        <f aca="true" t="shared" si="4" ref="T26:T33">-(AE12*Q26)</f>
        <v>0</v>
      </c>
      <c r="U26" s="29"/>
      <c r="V26" s="29"/>
      <c r="W26" s="29">
        <v>0</v>
      </c>
      <c r="X26" s="29"/>
      <c r="Y26" s="29"/>
      <c r="Z26" s="51">
        <f aca="true" t="shared" si="5" ref="Z26:Z33">-W26*AH12</f>
        <v>0</v>
      </c>
      <c r="AA26" s="51"/>
      <c r="AB26" s="51"/>
      <c r="AC26" s="29">
        <f>$W$3/($AL12+1)</f>
        <v>1</v>
      </c>
      <c r="AD26" s="29"/>
      <c r="AE26" s="29"/>
      <c r="AF26" s="29">
        <f aca="true" t="shared" si="6" ref="AF26:AF33">-(AC26*V12)</f>
        <v>0</v>
      </c>
      <c r="AG26" s="29"/>
      <c r="AH26" s="29"/>
      <c r="AI26" s="29">
        <f>(($U$6/4)*2+($U$6/6*2)*1)/3</f>
        <v>1.6666666666666667</v>
      </c>
      <c r="AJ26" s="29"/>
      <c r="AK26" s="29"/>
      <c r="AL26" s="29">
        <f aca="true" t="shared" si="7" ref="AL26:AL33">-(AI26*Y12)</f>
        <v>0</v>
      </c>
      <c r="AM26" s="29"/>
      <c r="AN26" s="29"/>
      <c r="AO26" s="29">
        <f>$U$6*2/3</f>
        <v>4</v>
      </c>
      <c r="AP26" s="29"/>
      <c r="AQ26" s="29"/>
      <c r="AR26" s="51">
        <f aca="true" t="shared" si="8" ref="AR26:AR33">AO26*AB12</f>
        <v>0</v>
      </c>
      <c r="AS26" s="51"/>
      <c r="AT26" s="51"/>
      <c r="AU26" s="29">
        <f>$W$5+$U$6*2/3</f>
        <v>5.5</v>
      </c>
      <c r="AV26" s="29"/>
      <c r="AW26" s="29"/>
      <c r="AX26" s="29">
        <v>0</v>
      </c>
      <c r="AY26" s="29"/>
      <c r="AZ26" s="29"/>
      <c r="BA26" s="29">
        <f aca="true" t="shared" si="9" ref="BA26:BA33">-(AU26*AB12+AX26*AH12)</f>
        <v>0</v>
      </c>
      <c r="BB26" s="29"/>
      <c r="BC26" s="29"/>
      <c r="BD26" s="2"/>
      <c r="BE26" s="2"/>
      <c r="BF26" s="2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I26" s="5"/>
      <c r="CJ26" s="5"/>
    </row>
    <row r="27" spans="1:88" ht="15.75" customHeight="1" hidden="1">
      <c r="A27" t="s">
        <v>0</v>
      </c>
      <c r="B27" s="29">
        <f>$W$3/($AL13+1)*($AL13)</f>
        <v>1.3333333333333333</v>
      </c>
      <c r="C27" s="29"/>
      <c r="D27" s="29"/>
      <c r="E27" s="29">
        <f>$W$3+$U$6/3</f>
        <v>4</v>
      </c>
      <c r="F27" s="29"/>
      <c r="G27" s="29"/>
      <c r="H27" s="29">
        <f t="shared" si="2"/>
        <v>0</v>
      </c>
      <c r="I27" s="29"/>
      <c r="J27" s="29"/>
      <c r="K27" s="29">
        <f>$U$6/3</f>
        <v>2</v>
      </c>
      <c r="L27" s="29"/>
      <c r="M27" s="29"/>
      <c r="N27" s="51">
        <f t="shared" si="3"/>
        <v>0</v>
      </c>
      <c r="O27" s="51"/>
      <c r="P27" s="51"/>
      <c r="Q27" s="29">
        <f>$U$6/2/3</f>
        <v>1</v>
      </c>
      <c r="R27" s="29"/>
      <c r="S27" s="29"/>
      <c r="T27" s="29">
        <f t="shared" si="4"/>
        <v>0</v>
      </c>
      <c r="U27" s="29"/>
      <c r="V27" s="29"/>
      <c r="W27" s="29">
        <v>0</v>
      </c>
      <c r="X27" s="29"/>
      <c r="Y27" s="29"/>
      <c r="Z27" s="51">
        <f t="shared" si="5"/>
        <v>0</v>
      </c>
      <c r="AA27" s="51"/>
      <c r="AB27" s="51"/>
      <c r="AC27" s="29">
        <f>$W$3/($AL13+1)*($AL13)</f>
        <v>1.3333333333333333</v>
      </c>
      <c r="AD27" s="29"/>
      <c r="AE27" s="29"/>
      <c r="AF27" s="29">
        <f t="shared" si="6"/>
        <v>0</v>
      </c>
      <c r="AG27" s="29"/>
      <c r="AH27" s="29"/>
      <c r="AI27" s="29">
        <f>(($U$6/4)*2+($U$6/6*2)*1)/3</f>
        <v>1.6666666666666667</v>
      </c>
      <c r="AJ27" s="29"/>
      <c r="AK27" s="29"/>
      <c r="AL27" s="29">
        <f t="shared" si="7"/>
        <v>0</v>
      </c>
      <c r="AM27" s="29"/>
      <c r="AN27" s="29"/>
      <c r="AO27" s="29">
        <f>$U$6*2/3</f>
        <v>4</v>
      </c>
      <c r="AP27" s="29"/>
      <c r="AQ27" s="29"/>
      <c r="AR27" s="51">
        <f t="shared" si="8"/>
        <v>0</v>
      </c>
      <c r="AS27" s="51"/>
      <c r="AT27" s="51"/>
      <c r="AU27" s="29">
        <f>$W$5+$U$6*2/3</f>
        <v>5.5</v>
      </c>
      <c r="AV27" s="29"/>
      <c r="AW27" s="29"/>
      <c r="AX27" s="29">
        <v>0</v>
      </c>
      <c r="AY27" s="29"/>
      <c r="AZ27" s="29"/>
      <c r="BA27" s="29">
        <f t="shared" si="9"/>
        <v>0</v>
      </c>
      <c r="BB27" s="29"/>
      <c r="BC27" s="29"/>
      <c r="BD27" s="2"/>
      <c r="BE27" s="2"/>
      <c r="BF27" s="2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I27" s="5"/>
      <c r="CJ27" s="5"/>
    </row>
    <row r="28" spans="1:88" ht="15.75" customHeight="1" hidden="1">
      <c r="A28" t="s">
        <v>1</v>
      </c>
      <c r="B28" s="29">
        <f>$W$3/($AL14+1)*($AL14)</f>
        <v>1.5</v>
      </c>
      <c r="C28" s="29"/>
      <c r="D28" s="29"/>
      <c r="E28" s="29">
        <f>$W$3+$U$6/3</f>
        <v>4</v>
      </c>
      <c r="F28" s="29"/>
      <c r="G28" s="29"/>
      <c r="H28" s="29">
        <f t="shared" si="2"/>
        <v>260</v>
      </c>
      <c r="I28" s="29"/>
      <c r="J28" s="29"/>
      <c r="K28" s="29">
        <f>$U$6/3</f>
        <v>2</v>
      </c>
      <c r="L28" s="29"/>
      <c r="M28" s="29"/>
      <c r="N28" s="51">
        <f t="shared" si="3"/>
        <v>120</v>
      </c>
      <c r="O28" s="51"/>
      <c r="P28" s="51"/>
      <c r="Q28" s="29">
        <f>$U$6/2/3</f>
        <v>1</v>
      </c>
      <c r="R28" s="29"/>
      <c r="S28" s="29"/>
      <c r="T28" s="29">
        <f t="shared" si="4"/>
        <v>15</v>
      </c>
      <c r="U28" s="29"/>
      <c r="V28" s="29"/>
      <c r="W28" s="29">
        <v>0</v>
      </c>
      <c r="X28" s="29"/>
      <c r="Y28" s="29"/>
      <c r="Z28" s="51">
        <f t="shared" si="5"/>
        <v>0</v>
      </c>
      <c r="AA28" s="51"/>
      <c r="AB28" s="51"/>
      <c r="AC28" s="29">
        <f>$W$3/($AL14+1)*($AL14)</f>
        <v>1.5</v>
      </c>
      <c r="AD28" s="29"/>
      <c r="AE28" s="29"/>
      <c r="AF28" s="29">
        <f t="shared" si="6"/>
        <v>20</v>
      </c>
      <c r="AG28" s="29"/>
      <c r="AH28" s="29"/>
      <c r="AI28" s="29">
        <f>(($U$6/4)*2+($U$6/6*2)*1)/3</f>
        <v>1.6666666666666667</v>
      </c>
      <c r="AJ28" s="29"/>
      <c r="AK28" s="29"/>
      <c r="AL28" s="29">
        <f t="shared" si="7"/>
        <v>75</v>
      </c>
      <c r="AM28" s="29"/>
      <c r="AN28" s="29"/>
      <c r="AO28" s="29">
        <f>$U$6*2/3</f>
        <v>4</v>
      </c>
      <c r="AP28" s="29"/>
      <c r="AQ28" s="29"/>
      <c r="AR28" s="51">
        <f t="shared" si="8"/>
        <v>-240</v>
      </c>
      <c r="AS28" s="51"/>
      <c r="AT28" s="51"/>
      <c r="AU28" s="29">
        <f>$W$5+$U$6*2/3</f>
        <v>5.5</v>
      </c>
      <c r="AV28" s="29"/>
      <c r="AW28" s="29"/>
      <c r="AX28" s="29">
        <v>0</v>
      </c>
      <c r="AY28" s="29"/>
      <c r="AZ28" s="29"/>
      <c r="BA28" s="29">
        <f t="shared" si="9"/>
        <v>330</v>
      </c>
      <c r="BB28" s="29"/>
      <c r="BC28" s="29"/>
      <c r="BD28" s="2"/>
      <c r="BE28" s="2"/>
      <c r="BF28" s="2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I28" s="5"/>
      <c r="CJ28" s="5"/>
    </row>
    <row r="29" spans="1:88" ht="15.75" customHeight="1" hidden="1">
      <c r="A29" t="s">
        <v>2</v>
      </c>
      <c r="B29" s="29">
        <v>0</v>
      </c>
      <c r="C29" s="29"/>
      <c r="D29" s="29"/>
      <c r="E29" s="29">
        <f>$W$3+$U$6/2</f>
        <v>5</v>
      </c>
      <c r="F29" s="29"/>
      <c r="G29" s="29"/>
      <c r="H29" s="29">
        <f t="shared" si="2"/>
        <v>0</v>
      </c>
      <c r="I29" s="29"/>
      <c r="J29" s="29"/>
      <c r="K29" s="29">
        <f>$U$6/2</f>
        <v>3</v>
      </c>
      <c r="L29" s="29"/>
      <c r="M29" s="29"/>
      <c r="N29" s="51">
        <f t="shared" si="3"/>
        <v>0</v>
      </c>
      <c r="O29" s="51"/>
      <c r="P29" s="51"/>
      <c r="Q29" s="29">
        <f>$U$6/2/3</f>
        <v>1</v>
      </c>
      <c r="R29" s="29"/>
      <c r="S29" s="29"/>
      <c r="T29" s="29">
        <f t="shared" si="4"/>
        <v>0</v>
      </c>
      <c r="U29" s="29"/>
      <c r="V29" s="29"/>
      <c r="W29" s="29">
        <v>0</v>
      </c>
      <c r="X29" s="29"/>
      <c r="Y29" s="29"/>
      <c r="Z29" s="51">
        <f t="shared" si="5"/>
        <v>0</v>
      </c>
      <c r="AA29" s="51"/>
      <c r="AB29" s="51"/>
      <c r="AC29" s="29">
        <v>0</v>
      </c>
      <c r="AD29" s="29"/>
      <c r="AE29" s="29"/>
      <c r="AF29" s="29">
        <f t="shared" si="6"/>
        <v>0</v>
      </c>
      <c r="AG29" s="29"/>
      <c r="AH29" s="29"/>
      <c r="AI29" s="29">
        <f>$U$6/2/3</f>
        <v>1</v>
      </c>
      <c r="AJ29" s="29"/>
      <c r="AK29" s="29"/>
      <c r="AL29" s="29">
        <f t="shared" si="7"/>
        <v>0</v>
      </c>
      <c r="AM29" s="29"/>
      <c r="AN29" s="29"/>
      <c r="AO29" s="29">
        <f>$U$6/2</f>
        <v>3</v>
      </c>
      <c r="AP29" s="29"/>
      <c r="AQ29" s="29"/>
      <c r="AR29" s="51">
        <f t="shared" si="8"/>
        <v>0</v>
      </c>
      <c r="AS29" s="51"/>
      <c r="AT29" s="51"/>
      <c r="AU29" s="29">
        <f>$W$5+$U$6/2</f>
        <v>4.5</v>
      </c>
      <c r="AV29" s="29"/>
      <c r="AW29" s="29"/>
      <c r="AX29" s="29">
        <v>0</v>
      </c>
      <c r="AY29" s="29"/>
      <c r="AZ29" s="29"/>
      <c r="BA29" s="29">
        <f t="shared" si="9"/>
        <v>0</v>
      </c>
      <c r="BB29" s="29"/>
      <c r="BC29" s="29"/>
      <c r="BD29" s="2"/>
      <c r="BE29" s="2"/>
      <c r="BF29" s="2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I29" s="5"/>
      <c r="CJ29" s="5"/>
    </row>
    <row r="30" spans="1:88" ht="15.75" customHeight="1" hidden="1">
      <c r="A30" t="s">
        <v>3</v>
      </c>
      <c r="B30" s="29">
        <v>0</v>
      </c>
      <c r="C30" s="29"/>
      <c r="D30" s="29"/>
      <c r="E30" s="29">
        <f>$W$3+$U$6/2</f>
        <v>5</v>
      </c>
      <c r="F30" s="29"/>
      <c r="G30" s="29"/>
      <c r="H30" s="29">
        <f t="shared" si="2"/>
        <v>-450</v>
      </c>
      <c r="I30" s="29"/>
      <c r="J30" s="29"/>
      <c r="K30" s="29">
        <f>$U$6/2</f>
        <v>3</v>
      </c>
      <c r="L30" s="29"/>
      <c r="M30" s="29"/>
      <c r="N30" s="51">
        <f t="shared" si="3"/>
        <v>-270</v>
      </c>
      <c r="O30" s="51"/>
      <c r="P30" s="51"/>
      <c r="Q30" s="29">
        <f>$U$6/2*3/8</f>
        <v>1.125</v>
      </c>
      <c r="R30" s="29"/>
      <c r="S30" s="29"/>
      <c r="T30" s="29">
        <f t="shared" si="4"/>
        <v>-50.625</v>
      </c>
      <c r="U30" s="29"/>
      <c r="V30" s="29"/>
      <c r="W30" s="29">
        <v>0</v>
      </c>
      <c r="X30" s="29"/>
      <c r="Y30" s="29"/>
      <c r="Z30" s="51">
        <f t="shared" si="5"/>
        <v>0</v>
      </c>
      <c r="AA30" s="51"/>
      <c r="AB30" s="51"/>
      <c r="AC30" s="29">
        <v>0</v>
      </c>
      <c r="AD30" s="29"/>
      <c r="AE30" s="29"/>
      <c r="AF30" s="29">
        <f t="shared" si="6"/>
        <v>0</v>
      </c>
      <c r="AG30" s="29"/>
      <c r="AH30" s="29"/>
      <c r="AI30" s="29">
        <f>$U$6/2*3/8</f>
        <v>1.125</v>
      </c>
      <c r="AJ30" s="29"/>
      <c r="AK30" s="29"/>
      <c r="AL30" s="29">
        <f t="shared" si="7"/>
        <v>-50.625</v>
      </c>
      <c r="AM30" s="29"/>
      <c r="AN30" s="29"/>
      <c r="AO30" s="29">
        <f>$U$6/2</f>
        <v>3</v>
      </c>
      <c r="AP30" s="29"/>
      <c r="AQ30" s="29"/>
      <c r="AR30" s="51">
        <f t="shared" si="8"/>
        <v>270</v>
      </c>
      <c r="AS30" s="51"/>
      <c r="AT30" s="51"/>
      <c r="AU30" s="29">
        <f>$W$5+$U$6/2</f>
        <v>4.5</v>
      </c>
      <c r="AV30" s="29"/>
      <c r="AW30" s="29"/>
      <c r="AX30" s="29">
        <v>0</v>
      </c>
      <c r="AY30" s="29"/>
      <c r="AZ30" s="29"/>
      <c r="BA30" s="29">
        <f t="shared" si="9"/>
        <v>-405</v>
      </c>
      <c r="BB30" s="29"/>
      <c r="BC30" s="29"/>
      <c r="BD30" s="2"/>
      <c r="BE30" s="2"/>
      <c r="BF30" s="2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I30" s="5"/>
      <c r="CJ30" s="5"/>
    </row>
    <row r="31" spans="1:88" ht="15.75" customHeight="1" hidden="1">
      <c r="A31" t="s">
        <v>4</v>
      </c>
      <c r="B31" s="29">
        <v>0</v>
      </c>
      <c r="C31" s="29"/>
      <c r="D31" s="29"/>
      <c r="E31" s="29">
        <f>$W$3+$U$6*2/3</f>
        <v>6</v>
      </c>
      <c r="F31" s="29"/>
      <c r="G31" s="29"/>
      <c r="H31" s="29">
        <f t="shared" si="2"/>
        <v>0</v>
      </c>
      <c r="I31" s="29"/>
      <c r="J31" s="29"/>
      <c r="K31" s="29">
        <f>$U$6*2/3</f>
        <v>4</v>
      </c>
      <c r="L31" s="29"/>
      <c r="M31" s="29"/>
      <c r="N31" s="51">
        <f t="shared" si="3"/>
        <v>0</v>
      </c>
      <c r="O31" s="51"/>
      <c r="P31" s="51"/>
      <c r="Q31" s="29">
        <f>(($U$6/4)*2+($U$6/6)*2)/3</f>
        <v>1.6666666666666667</v>
      </c>
      <c r="R31" s="29"/>
      <c r="S31" s="29"/>
      <c r="T31" s="29">
        <f t="shared" si="4"/>
        <v>0</v>
      </c>
      <c r="U31" s="29"/>
      <c r="V31" s="29"/>
      <c r="W31" s="29">
        <f>$W$5/($AL17+1)*($AL17)</f>
        <v>1.125</v>
      </c>
      <c r="X31" s="29"/>
      <c r="Y31" s="29"/>
      <c r="Z31" s="51">
        <f t="shared" si="5"/>
        <v>0</v>
      </c>
      <c r="AA31" s="51"/>
      <c r="AB31" s="51"/>
      <c r="AC31" s="29">
        <v>0</v>
      </c>
      <c r="AD31" s="29"/>
      <c r="AE31" s="29"/>
      <c r="AF31" s="29">
        <f t="shared" si="6"/>
        <v>0</v>
      </c>
      <c r="AG31" s="29"/>
      <c r="AH31" s="29"/>
      <c r="AI31" s="29">
        <f>$U$6/2/3</f>
        <v>1</v>
      </c>
      <c r="AJ31" s="29"/>
      <c r="AK31" s="29"/>
      <c r="AL31" s="29">
        <f t="shared" si="7"/>
        <v>0</v>
      </c>
      <c r="AM31" s="29"/>
      <c r="AN31" s="29"/>
      <c r="AO31" s="29">
        <f>$U$6/3</f>
        <v>2</v>
      </c>
      <c r="AP31" s="29"/>
      <c r="AQ31" s="29"/>
      <c r="AR31" s="51">
        <f t="shared" si="8"/>
        <v>0</v>
      </c>
      <c r="AS31" s="51"/>
      <c r="AT31" s="51"/>
      <c r="AU31" s="29">
        <f>$W$5+$U$6/3</f>
        <v>3.5</v>
      </c>
      <c r="AV31" s="29"/>
      <c r="AW31" s="29"/>
      <c r="AX31" s="29">
        <f>$W$5/($AL17+1)*($AL17)</f>
        <v>1.125</v>
      </c>
      <c r="AY31" s="29"/>
      <c r="AZ31" s="29"/>
      <c r="BA31" s="29">
        <f t="shared" si="9"/>
        <v>0</v>
      </c>
      <c r="BB31" s="29"/>
      <c r="BC31" s="29"/>
      <c r="BD31" s="2"/>
      <c r="BE31" s="2"/>
      <c r="BF31" s="2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I31" s="5"/>
      <c r="CJ31" s="5"/>
    </row>
    <row r="32" spans="1:88" ht="15.75" customHeight="1" hidden="1">
      <c r="A32" t="s">
        <v>5</v>
      </c>
      <c r="B32" s="29">
        <v>0</v>
      </c>
      <c r="C32" s="29"/>
      <c r="D32" s="29"/>
      <c r="E32" s="29">
        <f>$W$3+$U$6*2/3</f>
        <v>6</v>
      </c>
      <c r="F32" s="29"/>
      <c r="G32" s="29"/>
      <c r="H32" s="29">
        <f t="shared" si="2"/>
        <v>0</v>
      </c>
      <c r="I32" s="29"/>
      <c r="J32" s="29"/>
      <c r="K32" s="29">
        <f>$U$6*2/3</f>
        <v>4</v>
      </c>
      <c r="L32" s="29"/>
      <c r="M32" s="29"/>
      <c r="N32" s="51">
        <f t="shared" si="3"/>
        <v>0</v>
      </c>
      <c r="O32" s="51"/>
      <c r="P32" s="51"/>
      <c r="Q32" s="29">
        <f>(($U$6/4)*2+($U$6/6)*2)/3</f>
        <v>1.6666666666666667</v>
      </c>
      <c r="R32" s="29"/>
      <c r="S32" s="29"/>
      <c r="T32" s="29">
        <f t="shared" si="4"/>
        <v>0</v>
      </c>
      <c r="U32" s="29"/>
      <c r="V32" s="29"/>
      <c r="W32" s="29">
        <f>$W$5/($AL18+1)*($AL18)</f>
        <v>1</v>
      </c>
      <c r="X32" s="29"/>
      <c r="Y32" s="29"/>
      <c r="Z32" s="51">
        <f t="shared" si="5"/>
        <v>0</v>
      </c>
      <c r="AA32" s="51"/>
      <c r="AB32" s="51"/>
      <c r="AC32" s="29">
        <v>0</v>
      </c>
      <c r="AD32" s="29"/>
      <c r="AE32" s="29"/>
      <c r="AF32" s="29">
        <f t="shared" si="6"/>
        <v>0</v>
      </c>
      <c r="AG32" s="29"/>
      <c r="AH32" s="29"/>
      <c r="AI32" s="29">
        <f>$U$6/2/3</f>
        <v>1</v>
      </c>
      <c r="AJ32" s="29"/>
      <c r="AK32" s="29"/>
      <c r="AL32" s="29">
        <f t="shared" si="7"/>
        <v>0</v>
      </c>
      <c r="AM32" s="29"/>
      <c r="AN32" s="29"/>
      <c r="AO32" s="29">
        <f>$U$6/3</f>
        <v>2</v>
      </c>
      <c r="AP32" s="29"/>
      <c r="AQ32" s="29"/>
      <c r="AR32" s="51">
        <f t="shared" si="8"/>
        <v>0</v>
      </c>
      <c r="AS32" s="51"/>
      <c r="AT32" s="51"/>
      <c r="AU32" s="29">
        <f>$W$5+$U$6/3</f>
        <v>3.5</v>
      </c>
      <c r="AV32" s="29"/>
      <c r="AW32" s="29"/>
      <c r="AX32" s="29">
        <f>$W$5/($AL18+1)*($AL18)</f>
        <v>1</v>
      </c>
      <c r="AY32" s="29"/>
      <c r="AZ32" s="29"/>
      <c r="BA32" s="29">
        <f t="shared" si="9"/>
        <v>0</v>
      </c>
      <c r="BB32" s="29"/>
      <c r="BC32" s="29"/>
      <c r="BD32" s="2"/>
      <c r="BE32" s="2"/>
      <c r="BF32" s="2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I32" s="5"/>
      <c r="CJ32" s="5"/>
    </row>
    <row r="33" spans="1:88" ht="15.75" customHeight="1" hidden="1">
      <c r="A33" t="s">
        <v>21</v>
      </c>
      <c r="B33" s="29">
        <v>0</v>
      </c>
      <c r="C33" s="29"/>
      <c r="D33" s="29"/>
      <c r="E33" s="29">
        <f>$W$3+$U$6*2/3</f>
        <v>6</v>
      </c>
      <c r="F33" s="29"/>
      <c r="G33" s="29"/>
      <c r="H33" s="29">
        <f t="shared" si="2"/>
        <v>0</v>
      </c>
      <c r="I33" s="29"/>
      <c r="J33" s="29"/>
      <c r="K33" s="29">
        <f>$U$6*2/3</f>
        <v>4</v>
      </c>
      <c r="L33" s="29"/>
      <c r="M33" s="29"/>
      <c r="N33" s="51">
        <f t="shared" si="3"/>
        <v>0</v>
      </c>
      <c r="O33" s="51"/>
      <c r="P33" s="51"/>
      <c r="Q33" s="29">
        <f>(($U$6/4)*2+($U$6/6)*2)/3</f>
        <v>1.6666666666666667</v>
      </c>
      <c r="R33" s="29"/>
      <c r="S33" s="29"/>
      <c r="T33" s="29">
        <f t="shared" si="4"/>
        <v>0</v>
      </c>
      <c r="U33" s="29"/>
      <c r="V33" s="29"/>
      <c r="W33" s="29">
        <f>$W$5/($AL19+1)</f>
        <v>0.75</v>
      </c>
      <c r="X33" s="29"/>
      <c r="Y33" s="29"/>
      <c r="Z33" s="51">
        <f t="shared" si="5"/>
        <v>0</v>
      </c>
      <c r="AA33" s="51"/>
      <c r="AB33" s="51"/>
      <c r="AC33" s="29">
        <v>0</v>
      </c>
      <c r="AD33" s="29"/>
      <c r="AE33" s="29"/>
      <c r="AF33" s="29">
        <f t="shared" si="6"/>
        <v>0</v>
      </c>
      <c r="AG33" s="29"/>
      <c r="AH33" s="29"/>
      <c r="AI33" s="29">
        <f>$U$6/2/3</f>
        <v>1</v>
      </c>
      <c r="AJ33" s="29"/>
      <c r="AK33" s="29"/>
      <c r="AL33" s="29">
        <f t="shared" si="7"/>
        <v>0</v>
      </c>
      <c r="AM33" s="29"/>
      <c r="AN33" s="29"/>
      <c r="AO33" s="29">
        <f>$U$6/3</f>
        <v>2</v>
      </c>
      <c r="AP33" s="29"/>
      <c r="AQ33" s="29"/>
      <c r="AR33" s="51">
        <f t="shared" si="8"/>
        <v>0</v>
      </c>
      <c r="AS33" s="51"/>
      <c r="AT33" s="51"/>
      <c r="AU33" s="29">
        <f>$W$5+$U$6/3</f>
        <v>3.5</v>
      </c>
      <c r="AV33" s="29"/>
      <c r="AW33" s="29"/>
      <c r="AX33" s="29">
        <f>$W$5/($AL19+1)</f>
        <v>0.75</v>
      </c>
      <c r="AY33" s="29"/>
      <c r="AZ33" s="29"/>
      <c r="BA33" s="29">
        <f t="shared" si="9"/>
        <v>0</v>
      </c>
      <c r="BB33" s="29"/>
      <c r="BC33" s="29"/>
      <c r="BD33" s="2"/>
      <c r="BE33" s="2"/>
      <c r="BF33" s="2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I33" s="5"/>
      <c r="CJ33" s="5"/>
    </row>
    <row r="34" spans="2:64" ht="12.75" customHeight="1" hidden="1">
      <c r="B34" s="29"/>
      <c r="C34" s="29"/>
      <c r="D34" s="29"/>
      <c r="E34" s="29"/>
      <c r="F34" s="29"/>
      <c r="G34" s="29"/>
      <c r="H34" s="29">
        <f>SUM(H26:J33)</f>
        <v>-190</v>
      </c>
      <c r="I34" s="29"/>
      <c r="J34" s="29"/>
      <c r="K34" s="29"/>
      <c r="L34" s="29"/>
      <c r="M34" s="29"/>
      <c r="N34" s="29">
        <f>SUM(N26:P33)</f>
        <v>-150</v>
      </c>
      <c r="O34" s="29"/>
      <c r="P34" s="29"/>
      <c r="Q34" s="29"/>
      <c r="R34" s="29"/>
      <c r="S34" s="29"/>
      <c r="T34" s="29">
        <f>SUM(T26:V33)</f>
        <v>-35.625</v>
      </c>
      <c r="U34" s="29"/>
      <c r="V34" s="29"/>
      <c r="W34" s="29"/>
      <c r="X34" s="29"/>
      <c r="Y34" s="29"/>
      <c r="Z34" s="29">
        <f>SUM(Z26:AB33)</f>
        <v>0</v>
      </c>
      <c r="AA34" s="29"/>
      <c r="AB34" s="29"/>
      <c r="AC34" s="29"/>
      <c r="AD34" s="29"/>
      <c r="AE34" s="29"/>
      <c r="AF34" s="29">
        <f>SUM(AF26:AH33)</f>
        <v>20</v>
      </c>
      <c r="AG34" s="29"/>
      <c r="AH34" s="29"/>
      <c r="AI34" s="2"/>
      <c r="AK34" s="2"/>
      <c r="AL34" s="29">
        <f>SUM(AL26:AN33)</f>
        <v>24.375</v>
      </c>
      <c r="AM34" s="29"/>
      <c r="AN34" s="29"/>
      <c r="AO34" s="2"/>
      <c r="AQ34" s="2"/>
      <c r="AR34" s="29">
        <f>SUM(AR26:AT33)</f>
        <v>30</v>
      </c>
      <c r="AS34" s="29"/>
      <c r="AT34" s="29"/>
      <c r="AU34" s="2"/>
      <c r="AV34" s="2"/>
      <c r="AW34" s="2"/>
      <c r="AX34" s="2"/>
      <c r="AY34" s="2"/>
      <c r="AZ34" s="2"/>
      <c r="BA34" s="29">
        <f>SUM(BA26:BC33)</f>
        <v>-75</v>
      </c>
      <c r="BB34" s="29"/>
      <c r="BC34" s="29"/>
      <c r="BD34" s="2"/>
      <c r="BE34" s="2"/>
      <c r="BG34" s="2"/>
      <c r="BH34" s="2"/>
      <c r="BI34" s="2"/>
      <c r="BK34" s="5"/>
      <c r="BL34" s="5"/>
    </row>
    <row r="35" spans="2:64" ht="12.75" customHeight="1" hidden="1">
      <c r="B35" s="2"/>
      <c r="C35" s="2"/>
      <c r="D35" s="2"/>
      <c r="E35" s="2"/>
      <c r="F35" s="2"/>
      <c r="G35" s="2"/>
      <c r="H35" s="31">
        <f>H34-$N$22*($U$6+$W$3)</f>
        <v>10</v>
      </c>
      <c r="I35" s="31"/>
      <c r="J35" s="31"/>
      <c r="K35" s="2"/>
      <c r="M35" s="2"/>
      <c r="N35" s="31">
        <f>N34-$N$22*$U$6</f>
        <v>0</v>
      </c>
      <c r="O35" s="31"/>
      <c r="P35" s="31"/>
      <c r="Q35" s="2"/>
      <c r="S35" s="2"/>
      <c r="T35" s="31">
        <f>T34-$N$22*$U$6/2</f>
        <v>39.375</v>
      </c>
      <c r="U35" s="31"/>
      <c r="V35" s="31"/>
      <c r="W35" s="2"/>
      <c r="Y35" s="2"/>
      <c r="Z35" s="31">
        <f>Z34+$N$22*$W$5</f>
        <v>-37.5</v>
      </c>
      <c r="AA35" s="31"/>
      <c r="AB35" s="31"/>
      <c r="AC35" s="2"/>
      <c r="AD35" s="2"/>
      <c r="AE35" s="2"/>
      <c r="AF35" s="31">
        <f>AF34-$F$22*($W$3)</f>
        <v>10</v>
      </c>
      <c r="AG35" s="31"/>
      <c r="AH35" s="31"/>
      <c r="AI35" s="2"/>
      <c r="AK35" s="2"/>
      <c r="AL35" s="31">
        <f>AL34+$F$22*$U$6/2</f>
        <v>39.375</v>
      </c>
      <c r="AM35" s="31"/>
      <c r="AN35" s="31"/>
      <c r="AO35" s="2"/>
      <c r="AQ35" s="2"/>
      <c r="AR35" s="31">
        <f>AR34-$F$22*$U$6</f>
        <v>0</v>
      </c>
      <c r="AS35" s="31"/>
      <c r="AT35" s="31"/>
      <c r="AU35" s="6"/>
      <c r="AV35" s="6"/>
      <c r="AW35" s="6"/>
      <c r="AX35" s="2"/>
      <c r="AY35" s="2"/>
      <c r="AZ35" s="2"/>
      <c r="BA35" s="31">
        <f>BA34+$F$22*($U$6+$W$5)</f>
        <v>-37.5</v>
      </c>
      <c r="BB35" s="31"/>
      <c r="BC35" s="31"/>
      <c r="BD35" s="2"/>
      <c r="BE35" s="2"/>
      <c r="BG35" s="2"/>
      <c r="BH35" s="2"/>
      <c r="BI35" s="2"/>
      <c r="BK35" s="5"/>
      <c r="BL35" s="5"/>
    </row>
    <row r="36" spans="2:38" ht="12.75" customHeight="1" hidden="1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G36" s="29"/>
      <c r="AH36" s="29"/>
      <c r="AI36" s="29"/>
      <c r="AK36" s="5"/>
      <c r="AL36" s="5"/>
    </row>
    <row r="37" spans="2:37" ht="12.75" hidden="1">
      <c r="B37" s="2"/>
      <c r="C37" s="2"/>
      <c r="D37" s="2"/>
      <c r="E37" s="2"/>
      <c r="F37" s="2"/>
      <c r="G37" s="2"/>
      <c r="H37" s="2"/>
      <c r="I37" s="2"/>
      <c r="J37" s="2"/>
      <c r="K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F37" s="2"/>
      <c r="AG37" s="2"/>
      <c r="AH37" s="2"/>
      <c r="AJ37" s="5"/>
      <c r="AK37" s="5"/>
    </row>
    <row r="38" spans="4:11" ht="15.75" hidden="1">
      <c r="D38" s="2"/>
      <c r="E38" s="2" t="s">
        <v>35</v>
      </c>
      <c r="F38" s="2" t="s">
        <v>36</v>
      </c>
      <c r="G38" s="2" t="s">
        <v>38</v>
      </c>
      <c r="H38" s="2" t="s">
        <v>43</v>
      </c>
      <c r="I38" s="2" t="s">
        <v>40</v>
      </c>
      <c r="J38" s="2"/>
      <c r="K38" s="2"/>
    </row>
    <row r="39" spans="4:29" ht="12.75" hidden="1">
      <c r="D39" s="2"/>
      <c r="E39" s="2">
        <f>0</f>
        <v>0</v>
      </c>
      <c r="F39" s="2">
        <f>E39+W3</f>
        <v>2</v>
      </c>
      <c r="G39" s="2">
        <f>F39+U6/2</f>
        <v>5</v>
      </c>
      <c r="H39" s="2">
        <f>G39+U6/2</f>
        <v>8</v>
      </c>
      <c r="I39" s="2">
        <f>H39+W5</f>
        <v>9.5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X39" s="2"/>
      <c r="Y39" s="2"/>
      <c r="Z39" s="2"/>
      <c r="AB39" s="5"/>
      <c r="AC39" s="5"/>
    </row>
    <row r="40" spans="2:29" ht="15.75" hidden="1">
      <c r="B40" s="2"/>
      <c r="C40" s="2"/>
      <c r="D40" s="2" t="s">
        <v>45</v>
      </c>
      <c r="E40" s="2">
        <f>-H35</f>
        <v>-10</v>
      </c>
      <c r="F40" s="2">
        <f>-N35</f>
        <v>0</v>
      </c>
      <c r="G40" s="2">
        <f>-T35</f>
        <v>-39.375</v>
      </c>
      <c r="H40" s="2">
        <f>-AR35</f>
        <v>0</v>
      </c>
      <c r="I40" s="2">
        <f>-BA35</f>
        <v>37.5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X40" s="2"/>
      <c r="Y40" s="2"/>
      <c r="Z40" s="2"/>
      <c r="AB40" s="5"/>
      <c r="AC40" s="5"/>
    </row>
    <row r="41" spans="2:29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X41" s="2"/>
      <c r="Y41" s="2"/>
      <c r="Z41" s="2"/>
      <c r="AB41" s="5"/>
      <c r="AC41" s="5"/>
    </row>
    <row r="42" spans="2:29" ht="12.75">
      <c r="B42" s="2"/>
      <c r="C42" s="47" t="s">
        <v>66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54"/>
      <c r="Y42" s="2"/>
      <c r="Z42" s="2"/>
      <c r="AB42" s="5"/>
      <c r="AC42" s="5"/>
    </row>
    <row r="43" spans="2:37" ht="12.75">
      <c r="B43" s="2"/>
      <c r="C43" s="8"/>
      <c r="D43" s="9"/>
      <c r="E43" s="50" t="s">
        <v>65</v>
      </c>
      <c r="F43" s="50"/>
      <c r="G43" s="50"/>
      <c r="H43" s="17" t="b">
        <f>IF(E43="igen",TRUE)</f>
        <v>0</v>
      </c>
      <c r="I43" s="50" t="s">
        <v>65</v>
      </c>
      <c r="J43" s="50"/>
      <c r="K43" s="50"/>
      <c r="L43" s="17" t="b">
        <f>IF(I43="igen",TRUE)</f>
        <v>0</v>
      </c>
      <c r="M43" s="50" t="s">
        <v>65</v>
      </c>
      <c r="N43" s="50"/>
      <c r="O43" s="50"/>
      <c r="P43" s="17" t="b">
        <f>IF(M43="igen",TRUE)</f>
        <v>0</v>
      </c>
      <c r="Q43" s="50" t="s">
        <v>65</v>
      </c>
      <c r="R43" s="50"/>
      <c r="S43" s="50"/>
      <c r="T43" s="17" t="b">
        <f>IF(Q43="igen",TRUE)</f>
        <v>0</v>
      </c>
      <c r="U43" s="50" t="s">
        <v>65</v>
      </c>
      <c r="V43" s="50"/>
      <c r="W43" s="50"/>
      <c r="X43" s="17" t="b">
        <f>IF(U43="igen",TRUE)</f>
        <v>0</v>
      </c>
      <c r="Y43" s="2"/>
      <c r="Z43" s="2"/>
      <c r="AA43" s="2"/>
      <c r="AB43" s="2"/>
      <c r="AC43" s="2"/>
      <c r="AD43" s="2"/>
      <c r="AF43" s="2"/>
      <c r="AG43" s="2"/>
      <c r="AH43" s="2"/>
      <c r="AJ43" s="5"/>
      <c r="AK43" s="5"/>
    </row>
    <row r="44" spans="2:42" ht="12.75">
      <c r="B44" s="2"/>
      <c r="C44" s="35" t="s">
        <v>46</v>
      </c>
      <c r="D44" s="35"/>
      <c r="E44" s="24">
        <v>1</v>
      </c>
      <c r="F44" s="25"/>
      <c r="G44" s="25"/>
      <c r="H44" s="26"/>
      <c r="I44" s="24" t="s">
        <v>18</v>
      </c>
      <c r="J44" s="25"/>
      <c r="K44" s="25"/>
      <c r="L44" s="26"/>
      <c r="M44" s="24" t="s">
        <v>20</v>
      </c>
      <c r="N44" s="25"/>
      <c r="O44" s="25"/>
      <c r="P44" s="26"/>
      <c r="Q44" s="24" t="s">
        <v>19</v>
      </c>
      <c r="R44" s="25"/>
      <c r="S44" s="25"/>
      <c r="T44" s="26"/>
      <c r="U44" s="24">
        <v>2</v>
      </c>
      <c r="V44" s="25"/>
      <c r="W44" s="25"/>
      <c r="X44" s="26"/>
      <c r="Y44" s="7"/>
      <c r="Z44" s="7"/>
      <c r="AA44" s="7"/>
      <c r="AB44" s="18"/>
      <c r="AC44" s="7"/>
      <c r="AD44" s="7"/>
      <c r="AE44" s="7"/>
      <c r="AF44" s="7"/>
      <c r="AG44" s="7"/>
      <c r="AH44" s="2"/>
      <c r="AI44" s="2"/>
      <c r="AK44" s="2"/>
      <c r="AL44" s="2"/>
      <c r="AM44" s="2"/>
      <c r="AO44" s="5"/>
      <c r="AP44" s="5"/>
    </row>
    <row r="45" spans="2:42" ht="12.75">
      <c r="B45" s="2"/>
      <c r="C45" s="33" t="s">
        <v>47</v>
      </c>
      <c r="D45" s="33"/>
      <c r="E45" s="47">
        <f>E39</f>
        <v>0</v>
      </c>
      <c r="F45" s="48"/>
      <c r="G45" s="48"/>
      <c r="H45" s="54"/>
      <c r="I45" s="47">
        <f>F39</f>
        <v>2</v>
      </c>
      <c r="J45" s="48"/>
      <c r="K45" s="48"/>
      <c r="L45" s="54"/>
      <c r="M45" s="47">
        <f>G39</f>
        <v>5</v>
      </c>
      <c r="N45" s="48"/>
      <c r="O45" s="48"/>
      <c r="P45" s="54"/>
      <c r="Q45" s="47">
        <f>H39</f>
        <v>8</v>
      </c>
      <c r="R45" s="48"/>
      <c r="S45" s="48"/>
      <c r="T45" s="54"/>
      <c r="U45" s="47">
        <f>I39</f>
        <v>9.5</v>
      </c>
      <c r="V45" s="48"/>
      <c r="W45" s="48"/>
      <c r="X45" s="54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K45" s="2"/>
      <c r="AL45" s="2"/>
      <c r="AM45" s="2"/>
      <c r="AO45" s="5"/>
      <c r="AP45" s="5"/>
    </row>
    <row r="46" spans="1:42" ht="15">
      <c r="A46" s="3"/>
      <c r="C46" s="53" t="s">
        <v>57</v>
      </c>
      <c r="D46" s="53"/>
      <c r="E46" s="44">
        <f>E40</f>
        <v>-10</v>
      </c>
      <c r="F46" s="45"/>
      <c r="G46" s="45"/>
      <c r="H46" s="46"/>
      <c r="I46" s="44">
        <f>F40</f>
        <v>0</v>
      </c>
      <c r="J46" s="45"/>
      <c r="K46" s="45"/>
      <c r="L46" s="46"/>
      <c r="M46" s="44">
        <f>G40</f>
        <v>-39.375</v>
      </c>
      <c r="N46" s="45"/>
      <c r="O46" s="45"/>
      <c r="P46" s="46"/>
      <c r="Q46" s="44">
        <f>H40</f>
        <v>0</v>
      </c>
      <c r="R46" s="45"/>
      <c r="S46" s="45"/>
      <c r="T46" s="46"/>
      <c r="U46" s="44">
        <f>I40</f>
        <v>37.5</v>
      </c>
      <c r="V46" s="45"/>
      <c r="W46" s="45"/>
      <c r="X46" s="46"/>
      <c r="Y46" s="33" t="s">
        <v>50</v>
      </c>
      <c r="Z46" s="33"/>
      <c r="AA46" s="2"/>
      <c r="AB46" s="2"/>
      <c r="AC46" s="2"/>
      <c r="AD46" s="2"/>
      <c r="AE46" s="2"/>
      <c r="AF46" s="2"/>
      <c r="AG46" s="2"/>
      <c r="AH46" s="2"/>
      <c r="AI46" s="2"/>
      <c r="AK46" s="2"/>
      <c r="AL46" s="2"/>
      <c r="AM46" s="2"/>
      <c r="AO46" s="5"/>
      <c r="AP46" s="5"/>
    </row>
    <row r="47" spans="1:26" ht="14.25">
      <c r="A47" s="4"/>
      <c r="B47" s="4"/>
      <c r="C47" s="53" t="s">
        <v>58</v>
      </c>
      <c r="D47" s="53"/>
      <c r="E47" s="56">
        <f>E46/$AE$9*1000</f>
        <v>-0.16181229773462782</v>
      </c>
      <c r="F47" s="57"/>
      <c r="G47" s="57"/>
      <c r="H47" s="58"/>
      <c r="I47" s="56">
        <f>I46/$AE$9*1000</f>
        <v>0</v>
      </c>
      <c r="J47" s="57"/>
      <c r="K47" s="57"/>
      <c r="L47" s="58"/>
      <c r="M47" s="56">
        <f>M46/$AE$9*1000</f>
        <v>-0.6371359223300971</v>
      </c>
      <c r="N47" s="57"/>
      <c r="O47" s="57"/>
      <c r="P47" s="58"/>
      <c r="Q47" s="56">
        <f>Q46/$AE$9*1000</f>
        <v>0</v>
      </c>
      <c r="R47" s="57"/>
      <c r="S47" s="57"/>
      <c r="T47" s="58"/>
      <c r="U47" s="56">
        <f>U46/$AE$9*1000</f>
        <v>0.6067961165048543</v>
      </c>
      <c r="V47" s="57"/>
      <c r="W47" s="57"/>
      <c r="X47" s="58"/>
      <c r="Y47" s="33" t="s">
        <v>110</v>
      </c>
      <c r="Z47" s="33"/>
    </row>
    <row r="48" spans="1:26" ht="15" hidden="1">
      <c r="A48" s="3"/>
      <c r="B48" s="2"/>
      <c r="C48" s="53" t="s">
        <v>59</v>
      </c>
      <c r="D48" s="53"/>
      <c r="E48" s="15">
        <f>$F$22+V20</f>
        <v>-8.333333333333334</v>
      </c>
      <c r="F48" s="15"/>
      <c r="G48" s="15"/>
      <c r="H48" s="15"/>
      <c r="I48" s="15">
        <f>$F$22</f>
        <v>5</v>
      </c>
      <c r="J48" s="15"/>
      <c r="K48" s="15"/>
      <c r="L48" s="15"/>
      <c r="M48" s="15">
        <f>$F$22-Y20</f>
        <v>5</v>
      </c>
      <c r="N48" s="15"/>
      <c r="O48" s="15"/>
      <c r="P48" s="15"/>
      <c r="Q48" s="15">
        <f>$F$22-AB20</f>
        <v>-25</v>
      </c>
      <c r="R48" s="15"/>
      <c r="S48" s="15"/>
      <c r="T48" s="15"/>
      <c r="U48" s="15">
        <f>$F$22-AB20-AH20</f>
        <v>-25</v>
      </c>
      <c r="V48" s="15"/>
      <c r="W48" s="15"/>
      <c r="X48" s="15"/>
      <c r="Y48" s="33" t="s">
        <v>49</v>
      </c>
      <c r="Z48" s="33"/>
    </row>
    <row r="49" spans="1:26" ht="15">
      <c r="A49" s="3"/>
      <c r="B49" s="2"/>
      <c r="C49" s="53" t="s">
        <v>59</v>
      </c>
      <c r="D49" s="53"/>
      <c r="E49" s="44">
        <f>$N$22+AB20+V20</f>
        <v>-8.333333333333334</v>
      </c>
      <c r="F49" s="45"/>
      <c r="G49" s="45"/>
      <c r="H49" s="46"/>
      <c r="I49" s="44">
        <f>$N$22+AB20</f>
        <v>5</v>
      </c>
      <c r="J49" s="45"/>
      <c r="K49" s="45"/>
      <c r="L49" s="46"/>
      <c r="M49" s="44">
        <f>$N$22+AE20</f>
        <v>5</v>
      </c>
      <c r="N49" s="45"/>
      <c r="O49" s="45"/>
      <c r="P49" s="46"/>
      <c r="Q49" s="44">
        <f>$N$22</f>
        <v>-25</v>
      </c>
      <c r="R49" s="45"/>
      <c r="S49" s="45"/>
      <c r="T49" s="46"/>
      <c r="U49" s="44">
        <f>$N$22-AH20</f>
        <v>-25</v>
      </c>
      <c r="V49" s="45"/>
      <c r="W49" s="45"/>
      <c r="X49" s="46"/>
      <c r="Y49" s="33" t="s">
        <v>53</v>
      </c>
      <c r="Z49" s="33"/>
    </row>
    <row r="50" spans="1:24" ht="14.25">
      <c r="A50" s="3"/>
      <c r="B50" s="2"/>
      <c r="C50" s="55" t="s">
        <v>60</v>
      </c>
      <c r="D50" s="53"/>
      <c r="E50" s="59">
        <f>IF(ABS(E48-E49)&lt;0.0001,E48/$AE$9,"elrontottad")</f>
        <v>-0.0001348435814455232</v>
      </c>
      <c r="F50" s="60"/>
      <c r="G50" s="60"/>
      <c r="H50" s="61"/>
      <c r="I50" s="59">
        <f>IF(ABS(I48-I49)&lt;0.0001,I48/$AE$9,"elrontottad")</f>
        <v>8.090614886731392E-05</v>
      </c>
      <c r="J50" s="60"/>
      <c r="K50" s="60"/>
      <c r="L50" s="61"/>
      <c r="M50" s="59">
        <f>IF(ABS(M48-M49)&lt;0.0001,M48/$AE$9,"elrontottad")</f>
        <v>8.090614886731392E-05</v>
      </c>
      <c r="N50" s="60"/>
      <c r="O50" s="60"/>
      <c r="P50" s="61"/>
      <c r="Q50" s="59">
        <f>IF(ABS(Q48-Q49)&lt;0.0001,Q48/$AE$9,"elrontottad")</f>
        <v>-0.0004045307443365696</v>
      </c>
      <c r="R50" s="60"/>
      <c r="S50" s="60"/>
      <c r="T50" s="61"/>
      <c r="U50" s="59">
        <f>IF(ABS(U48-U49)&lt;0.0001,U48/$AE$9,"elrontottad")</f>
        <v>-0.0004045307443365696</v>
      </c>
      <c r="V50" s="60"/>
      <c r="W50" s="60"/>
      <c r="X50" s="61"/>
    </row>
    <row r="51" spans="1:15" ht="12.75">
      <c r="A51" s="3"/>
      <c r="B51" s="2"/>
      <c r="C51" s="2"/>
      <c r="K51" s="2"/>
      <c r="L51" s="2"/>
      <c r="M51" s="2"/>
      <c r="N51" s="2"/>
      <c r="O51" s="2"/>
    </row>
    <row r="52" spans="1:15" ht="12.75">
      <c r="A52" s="3"/>
      <c r="B52" s="2"/>
      <c r="C52" s="2"/>
      <c r="K52" s="2"/>
      <c r="L52" s="2"/>
      <c r="M52" s="2"/>
      <c r="N52" s="2"/>
      <c r="O52" s="2"/>
    </row>
    <row r="53" spans="1:15" ht="12.75">
      <c r="A53" s="3"/>
      <c r="B53" s="2"/>
      <c r="C53" s="2"/>
      <c r="K53" s="2"/>
      <c r="L53" s="2"/>
      <c r="M53" s="2"/>
      <c r="N53" s="2"/>
      <c r="O53" s="2"/>
    </row>
    <row r="54" spans="1:14" ht="12.75">
      <c r="A54" s="2"/>
      <c r="B54" s="2"/>
      <c r="J54" s="2"/>
      <c r="K54" s="2"/>
      <c r="L54" s="2"/>
      <c r="M54" s="2"/>
      <c r="N54" s="2"/>
    </row>
    <row r="55" spans="2:35" ht="12.75" customHeight="1">
      <c r="B55" t="s">
        <v>1</v>
      </c>
      <c r="G55" t="s">
        <v>0</v>
      </c>
      <c r="J55" t="s">
        <v>3</v>
      </c>
      <c r="K55" s="2"/>
      <c r="L55" s="2"/>
      <c r="M55" s="2"/>
      <c r="N55" s="2"/>
      <c r="O55" t="s">
        <v>4</v>
      </c>
      <c r="R55" t="s">
        <v>2</v>
      </c>
      <c r="U55" s="33" t="s">
        <v>9</v>
      </c>
      <c r="V55" s="33"/>
      <c r="W55" s="32">
        <v>4</v>
      </c>
      <c r="X55" s="32"/>
      <c r="Y55" s="32"/>
      <c r="Z55" s="33" t="s">
        <v>51</v>
      </c>
      <c r="AA55" s="33"/>
      <c r="AC55" s="12" t="s">
        <v>77</v>
      </c>
      <c r="AD55" s="12"/>
      <c r="AE55" s="32">
        <v>0</v>
      </c>
      <c r="AF55" s="32"/>
      <c r="AG55" s="32"/>
      <c r="AH55" s="33" t="s">
        <v>56</v>
      </c>
      <c r="AI55" s="33"/>
    </row>
    <row r="56" spans="19:35" ht="12.75" customHeight="1">
      <c r="S56" s="14" t="s">
        <v>74</v>
      </c>
      <c r="U56" s="33" t="s">
        <v>10</v>
      </c>
      <c r="V56" s="33"/>
      <c r="W56" s="32">
        <v>8</v>
      </c>
      <c r="X56" s="32"/>
      <c r="Y56" s="32"/>
      <c r="Z56" s="33" t="s">
        <v>51</v>
      </c>
      <c r="AA56" s="33"/>
      <c r="AC56" s="12" t="s">
        <v>78</v>
      </c>
      <c r="AD56" s="12"/>
      <c r="AE56" s="32">
        <v>0</v>
      </c>
      <c r="AF56" s="32"/>
      <c r="AG56" s="32"/>
      <c r="AH56" s="33" t="s">
        <v>56</v>
      </c>
      <c r="AI56" s="33"/>
    </row>
    <row r="57" spans="21:35" ht="12.75" customHeight="1">
      <c r="U57" s="33" t="s">
        <v>11</v>
      </c>
      <c r="V57" s="33"/>
      <c r="W57" s="32">
        <v>2</v>
      </c>
      <c r="X57" s="32"/>
      <c r="Y57" s="32"/>
      <c r="Z57" s="33" t="s">
        <v>51</v>
      </c>
      <c r="AA57" s="33"/>
      <c r="AC57" s="12" t="s">
        <v>79</v>
      </c>
      <c r="AD57" s="12"/>
      <c r="AE57" s="32">
        <v>0</v>
      </c>
      <c r="AF57" s="32"/>
      <c r="AG57" s="32"/>
      <c r="AH57" s="33" t="s">
        <v>56</v>
      </c>
      <c r="AI57" s="33"/>
    </row>
    <row r="58" spans="2:35" ht="12.75">
      <c r="B58" s="1" t="s">
        <v>18</v>
      </c>
      <c r="G58" s="1" t="s">
        <v>19</v>
      </c>
      <c r="O58" s="20" t="s">
        <v>71</v>
      </c>
      <c r="Q58" s="20" t="s">
        <v>75</v>
      </c>
      <c r="U58" s="11">
        <f>W56</f>
        <v>8</v>
      </c>
      <c r="V58" s="10"/>
      <c r="W58" s="49">
        <f>IF(W56=0,"NA NE SZÓRAKOZZ VELEM!","")</f>
      </c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</row>
    <row r="59" spans="6:35" ht="12.75" customHeight="1">
      <c r="F59" s="19" t="s">
        <v>72</v>
      </c>
      <c r="G59" s="14" t="s">
        <v>73</v>
      </c>
      <c r="U59" s="12" t="s">
        <v>15</v>
      </c>
      <c r="V59" s="12"/>
      <c r="W59" s="32">
        <v>250</v>
      </c>
      <c r="X59" s="32"/>
      <c r="Y59" s="32"/>
      <c r="Z59" s="33" t="s">
        <v>54</v>
      </c>
      <c r="AA59" s="33"/>
      <c r="AC59" s="12" t="s">
        <v>12</v>
      </c>
      <c r="AD59" s="12"/>
      <c r="AE59" s="32">
        <v>24</v>
      </c>
      <c r="AF59" s="32"/>
      <c r="AG59" s="32"/>
      <c r="AH59" s="33" t="s">
        <v>55</v>
      </c>
      <c r="AI59" s="33"/>
    </row>
    <row r="60" spans="3:35" ht="12.75" customHeight="1">
      <c r="C60" t="s">
        <v>6</v>
      </c>
      <c r="J60" t="s">
        <v>67</v>
      </c>
      <c r="P60" t="s">
        <v>8</v>
      </c>
      <c r="U60" s="12" t="s">
        <v>16</v>
      </c>
      <c r="V60" s="12"/>
      <c r="W60" s="32">
        <v>0</v>
      </c>
      <c r="X60" s="32"/>
      <c r="Y60" s="32"/>
      <c r="Z60" s="33" t="s">
        <v>54</v>
      </c>
      <c r="AA60" s="33"/>
      <c r="AC60" s="12" t="s">
        <v>13</v>
      </c>
      <c r="AD60" s="12"/>
      <c r="AE60" s="32">
        <v>0</v>
      </c>
      <c r="AF60" s="32"/>
      <c r="AG60" s="32"/>
      <c r="AH60" s="33" t="s">
        <v>55</v>
      </c>
      <c r="AI60" s="33"/>
    </row>
    <row r="61" spans="21:35" ht="12.75" customHeight="1">
      <c r="U61" s="12" t="s">
        <v>17</v>
      </c>
      <c r="V61" s="12"/>
      <c r="W61" s="32">
        <v>0</v>
      </c>
      <c r="X61" s="32"/>
      <c r="Y61" s="32"/>
      <c r="Z61" s="33" t="s">
        <v>54</v>
      </c>
      <c r="AA61" s="33"/>
      <c r="AC61" s="13" t="s">
        <v>48</v>
      </c>
      <c r="AD61" s="13"/>
      <c r="AE61" s="34">
        <v>100000</v>
      </c>
      <c r="AF61" s="34"/>
      <c r="AG61" s="34"/>
      <c r="AH61" s="35" t="s">
        <v>52</v>
      </c>
      <c r="AI61" s="35"/>
    </row>
    <row r="63" ht="12.75" hidden="1"/>
    <row r="64" ht="12.75" hidden="1"/>
    <row r="65" spans="1:53" ht="12.75" hidden="1">
      <c r="A65" s="29"/>
      <c r="B65" s="29"/>
      <c r="C65" s="29" t="s">
        <v>76</v>
      </c>
      <c r="D65" s="29"/>
      <c r="E65" s="29"/>
      <c r="F65" s="29"/>
      <c r="G65" s="29"/>
      <c r="H65" s="29"/>
      <c r="I65" s="29" t="s">
        <v>84</v>
      </c>
      <c r="J65" s="29"/>
      <c r="K65" s="29"/>
      <c r="L65" s="29" t="s">
        <v>80</v>
      </c>
      <c r="M65" s="29"/>
      <c r="N65" s="29"/>
      <c r="O65" s="29"/>
      <c r="P65" s="29"/>
      <c r="Q65" s="29"/>
      <c r="R65" s="29"/>
      <c r="S65" s="29"/>
      <c r="T65" s="29"/>
      <c r="U65" s="29" t="s">
        <v>85</v>
      </c>
      <c r="V65" s="29"/>
      <c r="W65" s="29"/>
      <c r="X65" s="29" t="s">
        <v>87</v>
      </c>
      <c r="Y65" s="29"/>
      <c r="Z65" s="29"/>
      <c r="AA65" s="29"/>
      <c r="AB65" s="29"/>
      <c r="AC65" s="29"/>
      <c r="AD65" s="29" t="s">
        <v>86</v>
      </c>
      <c r="AE65" s="29"/>
      <c r="AF65" s="29"/>
      <c r="AG65" s="29"/>
      <c r="AH65" s="29"/>
      <c r="AI65" s="29"/>
      <c r="AJ65" s="29"/>
      <c r="AK65" s="29"/>
      <c r="AL65" s="29"/>
      <c r="AM65" s="29" t="s">
        <v>92</v>
      </c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</row>
    <row r="66" spans="1:53" ht="12.75" hidden="1">
      <c r="A66" s="29"/>
      <c r="B66" s="29"/>
      <c r="C66" s="29" t="s">
        <v>18</v>
      </c>
      <c r="D66" s="29"/>
      <c r="E66" s="29"/>
      <c r="F66" s="29" t="s">
        <v>71</v>
      </c>
      <c r="G66" s="29"/>
      <c r="H66" s="29"/>
      <c r="I66" s="29"/>
      <c r="J66" s="29"/>
      <c r="K66" s="29"/>
      <c r="L66" s="29" t="s">
        <v>81</v>
      </c>
      <c r="M66" s="29"/>
      <c r="N66" s="29"/>
      <c r="O66" s="29" t="s">
        <v>82</v>
      </c>
      <c r="P66" s="29"/>
      <c r="Q66" s="29"/>
      <c r="R66" s="29" t="s">
        <v>83</v>
      </c>
      <c r="S66" s="29"/>
      <c r="T66" s="29"/>
      <c r="U66" s="29" t="s">
        <v>81</v>
      </c>
      <c r="V66" s="29"/>
      <c r="W66" s="29"/>
      <c r="X66" s="29" t="s">
        <v>81</v>
      </c>
      <c r="Y66" s="29"/>
      <c r="Z66" s="29"/>
      <c r="AA66" s="29" t="s">
        <v>82</v>
      </c>
      <c r="AB66" s="29"/>
      <c r="AC66" s="29"/>
      <c r="AD66" s="29" t="s">
        <v>81</v>
      </c>
      <c r="AE66" s="29"/>
      <c r="AF66" s="29"/>
      <c r="AG66" s="29" t="s">
        <v>82</v>
      </c>
      <c r="AH66" s="29"/>
      <c r="AI66" s="29"/>
      <c r="AJ66" s="29" t="s">
        <v>83</v>
      </c>
      <c r="AK66" s="29"/>
      <c r="AL66" s="29"/>
      <c r="AM66" s="29" t="s">
        <v>19</v>
      </c>
      <c r="AN66" s="29"/>
      <c r="AO66" s="29"/>
      <c r="AP66" s="29" t="s">
        <v>71</v>
      </c>
      <c r="AQ66" s="29"/>
      <c r="AR66" s="29"/>
      <c r="AS66" s="29" t="s">
        <v>75</v>
      </c>
      <c r="AT66" s="29"/>
      <c r="AU66" s="29"/>
      <c r="AV66" s="29"/>
      <c r="AW66" s="29"/>
      <c r="AX66" s="29"/>
      <c r="AY66" s="29"/>
      <c r="AZ66" s="29"/>
      <c r="BA66" s="29"/>
    </row>
    <row r="67" spans="1:53" ht="15.75" hidden="1">
      <c r="A67" s="29" t="s">
        <v>1</v>
      </c>
      <c r="B67" s="29"/>
      <c r="C67" s="29">
        <f>-W59*W55*W55/2</f>
        <v>-2000</v>
      </c>
      <c r="D67" s="29"/>
      <c r="E67" s="29"/>
      <c r="F67" s="29">
        <v>0</v>
      </c>
      <c r="G67" s="29"/>
      <c r="H67" s="29"/>
      <c r="I67" s="29">
        <v>2</v>
      </c>
      <c r="J67" s="29"/>
      <c r="K67" s="29"/>
      <c r="L67" s="29">
        <f>C67*$W$55/(I67+1)</f>
        <v>-2666.6666666666665</v>
      </c>
      <c r="M67" s="29"/>
      <c r="N67" s="29"/>
      <c r="O67" s="29">
        <v>0</v>
      </c>
      <c r="P67" s="29"/>
      <c r="Q67" s="29"/>
      <c r="R67" s="29">
        <v>0</v>
      </c>
      <c r="S67" s="29"/>
      <c r="T67" s="29"/>
      <c r="U67" s="29">
        <f>W55*3/4</f>
        <v>3</v>
      </c>
      <c r="V67" s="29"/>
      <c r="W67" s="29"/>
      <c r="X67" s="29">
        <f>$W$56+$W$55*3/4</f>
        <v>11</v>
      </c>
      <c r="Y67" s="29"/>
      <c r="Z67" s="29"/>
      <c r="AA67" s="29">
        <v>0</v>
      </c>
      <c r="AB67" s="29"/>
      <c r="AC67" s="29"/>
      <c r="AD67" s="29">
        <f>$W$57+$W$56+$W$55*3/4</f>
        <v>13</v>
      </c>
      <c r="AE67" s="29"/>
      <c r="AF67" s="29"/>
      <c r="AG67" s="29">
        <v>0</v>
      </c>
      <c r="AH67" s="29"/>
      <c r="AI67" s="29"/>
      <c r="AJ67" s="29">
        <v>0</v>
      </c>
      <c r="AK67" s="29"/>
      <c r="AL67" s="29"/>
      <c r="AM67" s="29">
        <f>-L67*U67</f>
        <v>8000</v>
      </c>
      <c r="AN67" s="29"/>
      <c r="AO67" s="29"/>
      <c r="AP67" s="29">
        <f>-(L67*X67+O67*AA67)</f>
        <v>29333.333333333332</v>
      </c>
      <c r="AQ67" s="29"/>
      <c r="AR67" s="29"/>
      <c r="AS67" s="29">
        <f>-(L67*AD67+O67*AG67+R67*AJ67)</f>
        <v>34666.666666666664</v>
      </c>
      <c r="AT67" s="29"/>
      <c r="AU67" s="29"/>
      <c r="AV67" s="29"/>
      <c r="AW67" s="29"/>
      <c r="AX67" s="29"/>
      <c r="AY67" s="29"/>
      <c r="AZ67" s="29"/>
      <c r="BA67" s="29"/>
    </row>
    <row r="68" spans="1:53" ht="15.75" hidden="1">
      <c r="A68" s="29" t="s">
        <v>68</v>
      </c>
      <c r="B68" s="29"/>
      <c r="C68" s="29">
        <f>-(W60*W56/2)*W55</f>
        <v>0</v>
      </c>
      <c r="D68" s="29"/>
      <c r="E68" s="29"/>
      <c r="F68" s="29">
        <v>0</v>
      </c>
      <c r="G68" s="29"/>
      <c r="H68" s="29"/>
      <c r="I68" s="29">
        <v>1</v>
      </c>
      <c r="J68" s="29"/>
      <c r="K68" s="29"/>
      <c r="L68" s="29">
        <f aca="true" t="shared" si="10" ref="L68:L74">C68*$W$55/(I68+1)</f>
        <v>0</v>
      </c>
      <c r="M68" s="29"/>
      <c r="N68" s="29"/>
      <c r="O68" s="29">
        <f>W60*W56*W56/8*W56*2/3</f>
        <v>0</v>
      </c>
      <c r="P68" s="29"/>
      <c r="Q68" s="29"/>
      <c r="R68" s="29">
        <v>0</v>
      </c>
      <c r="S68" s="29"/>
      <c r="T68" s="29"/>
      <c r="U68" s="29">
        <f>$W$55*2/3</f>
        <v>2.6666666666666665</v>
      </c>
      <c r="V68" s="29"/>
      <c r="W68" s="29"/>
      <c r="X68" s="29">
        <f>$W$56+$W$55*2/3</f>
        <v>10.666666666666666</v>
      </c>
      <c r="Y68" s="29"/>
      <c r="Z68" s="29"/>
      <c r="AA68" s="29">
        <f>W56/2</f>
        <v>4</v>
      </c>
      <c r="AB68" s="29"/>
      <c r="AC68" s="29"/>
      <c r="AD68" s="29">
        <f>$W$57+$W$56+$W$55*2/3</f>
        <v>12.666666666666666</v>
      </c>
      <c r="AE68" s="29"/>
      <c r="AF68" s="29"/>
      <c r="AG68" s="29">
        <f>W57+W56/2</f>
        <v>6</v>
      </c>
      <c r="AH68" s="29"/>
      <c r="AI68" s="29"/>
      <c r="AJ68" s="29">
        <v>0</v>
      </c>
      <c r="AK68" s="29"/>
      <c r="AL68" s="29"/>
      <c r="AM68" s="29">
        <f aca="true" t="shared" si="11" ref="AM68:AM74">-L68*U68</f>
        <v>0</v>
      </c>
      <c r="AN68" s="29"/>
      <c r="AO68" s="29"/>
      <c r="AP68" s="29">
        <f aca="true" t="shared" si="12" ref="AP68:AP74">-(L68*X68+O68*AA68)</f>
        <v>0</v>
      </c>
      <c r="AQ68" s="29"/>
      <c r="AR68" s="29"/>
      <c r="AS68" s="29">
        <f aca="true" t="shared" si="13" ref="AS68:AS74">-(L68*AD68+O68*AG68+R68*AJ68)</f>
        <v>0</v>
      </c>
      <c r="AT68" s="29"/>
      <c r="AU68" s="29"/>
      <c r="AV68" s="29"/>
      <c r="AW68" s="29"/>
      <c r="AX68" s="29"/>
      <c r="AY68" s="29"/>
      <c r="AZ68" s="29"/>
      <c r="BA68" s="29"/>
    </row>
    <row r="69" spans="1:53" ht="15.75" hidden="1">
      <c r="A69" s="29" t="s">
        <v>69</v>
      </c>
      <c r="B69" s="29"/>
      <c r="C69" s="29">
        <f>W61*W57/W56*W55</f>
        <v>0</v>
      </c>
      <c r="D69" s="29"/>
      <c r="E69" s="29"/>
      <c r="F69" s="29">
        <f>-W61*W57*W57/2</f>
        <v>0</v>
      </c>
      <c r="G69" s="29"/>
      <c r="H69" s="29"/>
      <c r="I69" s="29">
        <v>1</v>
      </c>
      <c r="J69" s="29"/>
      <c r="K69" s="29"/>
      <c r="L69" s="29">
        <f t="shared" si="10"/>
        <v>0</v>
      </c>
      <c r="M69" s="29"/>
      <c r="N69" s="29"/>
      <c r="O69" s="29">
        <f>F69*W56/2</f>
        <v>0</v>
      </c>
      <c r="P69" s="29"/>
      <c r="Q69" s="29"/>
      <c r="R69" s="29">
        <f>-W61*W57*W57/2</f>
        <v>0</v>
      </c>
      <c r="S69" s="29"/>
      <c r="T69" s="29"/>
      <c r="U69" s="29">
        <f>$W$55*2/3</f>
        <v>2.6666666666666665</v>
      </c>
      <c r="V69" s="29"/>
      <c r="W69" s="29"/>
      <c r="X69" s="29">
        <f>$W$56+$W$55*3/4</f>
        <v>11</v>
      </c>
      <c r="Y69" s="29"/>
      <c r="Z69" s="29"/>
      <c r="AA69" s="29">
        <f>$W$56/3</f>
        <v>2.6666666666666665</v>
      </c>
      <c r="AB69" s="29"/>
      <c r="AC69" s="29"/>
      <c r="AD69" s="29">
        <f aca="true" t="shared" si="14" ref="AD69:AD74">$W$57+$W$56+$W$55*3/4</f>
        <v>13</v>
      </c>
      <c r="AE69" s="29"/>
      <c r="AF69" s="29"/>
      <c r="AG69" s="29">
        <f>$W$57+$W$56/3</f>
        <v>4.666666666666666</v>
      </c>
      <c r="AH69" s="29"/>
      <c r="AI69" s="29"/>
      <c r="AJ69" s="29">
        <f>W57*3/4</f>
        <v>1.5</v>
      </c>
      <c r="AK69" s="29"/>
      <c r="AL69" s="29"/>
      <c r="AM69" s="29">
        <f t="shared" si="11"/>
        <v>0</v>
      </c>
      <c r="AN69" s="29"/>
      <c r="AO69" s="29"/>
      <c r="AP69" s="29">
        <f t="shared" si="12"/>
        <v>0</v>
      </c>
      <c r="AQ69" s="29"/>
      <c r="AR69" s="29"/>
      <c r="AS69" s="29">
        <f t="shared" si="13"/>
        <v>0</v>
      </c>
      <c r="AT69" s="29"/>
      <c r="AU69" s="29"/>
      <c r="AV69" s="29"/>
      <c r="AW69" s="29"/>
      <c r="AX69" s="29"/>
      <c r="AY69" s="29"/>
      <c r="AZ69" s="29"/>
      <c r="BA69" s="29"/>
    </row>
    <row r="70" spans="1:53" ht="15.75" hidden="1">
      <c r="A70" s="29" t="s">
        <v>0</v>
      </c>
      <c r="B70" s="29"/>
      <c r="C70" s="29">
        <f>-AE59*W55</f>
        <v>-96</v>
      </c>
      <c r="D70" s="29"/>
      <c r="E70" s="29"/>
      <c r="F70" s="29">
        <v>0</v>
      </c>
      <c r="G70" s="29"/>
      <c r="H70" s="29"/>
      <c r="I70" s="29">
        <v>1</v>
      </c>
      <c r="J70" s="29"/>
      <c r="K70" s="29"/>
      <c r="L70" s="29">
        <f t="shared" si="10"/>
        <v>-192</v>
      </c>
      <c r="M70" s="29"/>
      <c r="N70" s="29"/>
      <c r="O70" s="29">
        <v>0</v>
      </c>
      <c r="P70" s="29"/>
      <c r="Q70" s="29"/>
      <c r="R70" s="29">
        <v>0</v>
      </c>
      <c r="S70" s="29"/>
      <c r="T70" s="29"/>
      <c r="U70" s="29">
        <f>$W$55*2/3</f>
        <v>2.6666666666666665</v>
      </c>
      <c r="V70" s="29"/>
      <c r="W70" s="29"/>
      <c r="X70" s="29">
        <f>$W$56+$W$55*3/4</f>
        <v>11</v>
      </c>
      <c r="Y70" s="29"/>
      <c r="Z70" s="29"/>
      <c r="AA70" s="29">
        <v>0</v>
      </c>
      <c r="AB70" s="29"/>
      <c r="AC70" s="29"/>
      <c r="AD70" s="29">
        <f t="shared" si="14"/>
        <v>13</v>
      </c>
      <c r="AE70" s="29"/>
      <c r="AF70" s="29"/>
      <c r="AG70" s="29">
        <v>0</v>
      </c>
      <c r="AH70" s="29"/>
      <c r="AI70" s="29"/>
      <c r="AJ70" s="29">
        <v>0</v>
      </c>
      <c r="AK70" s="29"/>
      <c r="AL70" s="29"/>
      <c r="AM70" s="29">
        <f t="shared" si="11"/>
        <v>512</v>
      </c>
      <c r="AN70" s="29"/>
      <c r="AO70" s="29"/>
      <c r="AP70" s="29">
        <f t="shared" si="12"/>
        <v>2112</v>
      </c>
      <c r="AQ70" s="29"/>
      <c r="AR70" s="29"/>
      <c r="AS70" s="29">
        <f t="shared" si="13"/>
        <v>2496</v>
      </c>
      <c r="AT70" s="29"/>
      <c r="AU70" s="29"/>
      <c r="AV70" s="29"/>
      <c r="AW70" s="29"/>
      <c r="AX70" s="29"/>
      <c r="AY70" s="29"/>
      <c r="AZ70" s="29"/>
      <c r="BA70" s="29"/>
    </row>
    <row r="71" spans="1:53" ht="15.75" hidden="1">
      <c r="A71" s="29" t="s">
        <v>70</v>
      </c>
      <c r="B71" s="29"/>
      <c r="C71" s="29">
        <f>AE60*W57/W56*W55</f>
        <v>0</v>
      </c>
      <c r="D71" s="29"/>
      <c r="E71" s="29"/>
      <c r="F71" s="29">
        <f>-AE60*W57</f>
        <v>0</v>
      </c>
      <c r="G71" s="29"/>
      <c r="H71" s="29"/>
      <c r="I71" s="29">
        <v>1</v>
      </c>
      <c r="J71" s="29"/>
      <c r="K71" s="29"/>
      <c r="L71" s="29">
        <f t="shared" si="10"/>
        <v>0</v>
      </c>
      <c r="M71" s="29"/>
      <c r="N71" s="29"/>
      <c r="O71" s="29">
        <f>F71*W56/2</f>
        <v>0</v>
      </c>
      <c r="P71" s="29"/>
      <c r="Q71" s="29"/>
      <c r="R71" s="29">
        <f>-AE60*W57</f>
        <v>0</v>
      </c>
      <c r="S71" s="29"/>
      <c r="T71" s="29"/>
      <c r="U71" s="29">
        <f>$W$55*2/3</f>
        <v>2.6666666666666665</v>
      </c>
      <c r="V71" s="29"/>
      <c r="W71" s="29"/>
      <c r="X71" s="29">
        <f>$W$56+$W$55*3/4</f>
        <v>11</v>
      </c>
      <c r="Y71" s="29"/>
      <c r="Z71" s="29"/>
      <c r="AA71" s="29">
        <f>$W$56/3</f>
        <v>2.6666666666666665</v>
      </c>
      <c r="AB71" s="29"/>
      <c r="AC71" s="29"/>
      <c r="AD71" s="29">
        <f t="shared" si="14"/>
        <v>13</v>
      </c>
      <c r="AE71" s="29"/>
      <c r="AF71" s="29"/>
      <c r="AG71" s="29">
        <f>$W$57+$W$56/3</f>
        <v>4.666666666666666</v>
      </c>
      <c r="AH71" s="29"/>
      <c r="AI71" s="29"/>
      <c r="AJ71" s="29">
        <f>W57*2/3</f>
        <v>1.3333333333333333</v>
      </c>
      <c r="AK71" s="29"/>
      <c r="AL71" s="29"/>
      <c r="AM71" s="29">
        <f t="shared" si="11"/>
        <v>0</v>
      </c>
      <c r="AN71" s="29"/>
      <c r="AO71" s="29"/>
      <c r="AP71" s="29">
        <f t="shared" si="12"/>
        <v>0</v>
      </c>
      <c r="AQ71" s="29"/>
      <c r="AR71" s="29"/>
      <c r="AS71" s="29">
        <f t="shared" si="13"/>
        <v>0</v>
      </c>
      <c r="AT71" s="29"/>
      <c r="AU71" s="29"/>
      <c r="AV71" s="29"/>
      <c r="AW71" s="29"/>
      <c r="AX71" s="29"/>
      <c r="AY71" s="29"/>
      <c r="AZ71" s="29"/>
      <c r="BA71" s="29"/>
    </row>
    <row r="72" spans="1:53" ht="15.75" hidden="1">
      <c r="A72" s="29" t="s">
        <v>72</v>
      </c>
      <c r="B72" s="29"/>
      <c r="C72" s="29">
        <f>AE55</f>
        <v>0</v>
      </c>
      <c r="D72" s="29"/>
      <c r="E72" s="29"/>
      <c r="F72" s="29">
        <v>0</v>
      </c>
      <c r="G72" s="29"/>
      <c r="H72" s="29"/>
      <c r="I72" s="29">
        <v>0</v>
      </c>
      <c r="J72" s="29"/>
      <c r="K72" s="29"/>
      <c r="L72" s="29">
        <f t="shared" si="10"/>
        <v>0</v>
      </c>
      <c r="M72" s="29"/>
      <c r="N72" s="29"/>
      <c r="O72" s="29">
        <v>0</v>
      </c>
      <c r="P72" s="29"/>
      <c r="Q72" s="29"/>
      <c r="R72" s="29">
        <v>0</v>
      </c>
      <c r="S72" s="29"/>
      <c r="T72" s="29"/>
      <c r="U72" s="29">
        <f>$W$55/2</f>
        <v>2</v>
      </c>
      <c r="V72" s="29"/>
      <c r="W72" s="29"/>
      <c r="X72" s="29">
        <f>$W$56+$W$55/2</f>
        <v>10</v>
      </c>
      <c r="Y72" s="29"/>
      <c r="Z72" s="29"/>
      <c r="AA72" s="29">
        <v>0</v>
      </c>
      <c r="AB72" s="29"/>
      <c r="AC72" s="29"/>
      <c r="AD72" s="29">
        <f>$W$57+$W$56+$W$55/2</f>
        <v>12</v>
      </c>
      <c r="AE72" s="29"/>
      <c r="AF72" s="29"/>
      <c r="AG72" s="29">
        <v>0</v>
      </c>
      <c r="AH72" s="29"/>
      <c r="AI72" s="29"/>
      <c r="AJ72" s="29">
        <v>0</v>
      </c>
      <c r="AK72" s="29"/>
      <c r="AL72" s="29"/>
      <c r="AM72" s="29">
        <f t="shared" si="11"/>
        <v>0</v>
      </c>
      <c r="AN72" s="29"/>
      <c r="AO72" s="29"/>
      <c r="AP72" s="29">
        <f t="shared" si="12"/>
        <v>0</v>
      </c>
      <c r="AQ72" s="29"/>
      <c r="AR72" s="29"/>
      <c r="AS72" s="29">
        <f t="shared" si="13"/>
        <v>0</v>
      </c>
      <c r="AT72" s="29"/>
      <c r="AU72" s="29"/>
      <c r="AV72" s="29"/>
      <c r="AW72" s="29"/>
      <c r="AX72" s="29"/>
      <c r="AY72" s="29"/>
      <c r="AZ72" s="29"/>
      <c r="BA72" s="29"/>
    </row>
    <row r="73" spans="1:53" ht="15.75" hidden="1">
      <c r="A73" s="29" t="s">
        <v>73</v>
      </c>
      <c r="B73" s="29"/>
      <c r="C73" s="29">
        <f>AE56/W56*W55</f>
        <v>0</v>
      </c>
      <c r="D73" s="29"/>
      <c r="E73" s="29"/>
      <c r="F73" s="29">
        <v>0</v>
      </c>
      <c r="G73" s="29"/>
      <c r="H73" s="29"/>
      <c r="I73" s="29">
        <v>1</v>
      </c>
      <c r="J73" s="29"/>
      <c r="K73" s="29"/>
      <c r="L73" s="29">
        <f t="shared" si="10"/>
        <v>0</v>
      </c>
      <c r="M73" s="29"/>
      <c r="N73" s="29"/>
      <c r="O73" s="29">
        <f>AE56*W56/2</f>
        <v>0</v>
      </c>
      <c r="P73" s="29"/>
      <c r="Q73" s="29"/>
      <c r="R73" s="29">
        <v>0</v>
      </c>
      <c r="S73" s="29"/>
      <c r="T73" s="29"/>
      <c r="U73" s="29">
        <f>$W$55*2/3</f>
        <v>2.6666666666666665</v>
      </c>
      <c r="V73" s="29"/>
      <c r="W73" s="29"/>
      <c r="X73" s="29">
        <f>$W$56+$W$55*3/4</f>
        <v>11</v>
      </c>
      <c r="Y73" s="29"/>
      <c r="Z73" s="29"/>
      <c r="AA73" s="29">
        <f>$W$56*2/3</f>
        <v>5.333333333333333</v>
      </c>
      <c r="AB73" s="29"/>
      <c r="AC73" s="29"/>
      <c r="AD73" s="29">
        <f t="shared" si="14"/>
        <v>13</v>
      </c>
      <c r="AE73" s="29"/>
      <c r="AF73" s="29"/>
      <c r="AG73" s="29">
        <f>$W$57+$W$56*2/3</f>
        <v>7.333333333333333</v>
      </c>
      <c r="AH73" s="29"/>
      <c r="AI73" s="29"/>
      <c r="AJ73" s="29">
        <v>0</v>
      </c>
      <c r="AK73" s="29"/>
      <c r="AL73" s="29"/>
      <c r="AM73" s="29">
        <f t="shared" si="11"/>
        <v>0</v>
      </c>
      <c r="AN73" s="29"/>
      <c r="AO73" s="29"/>
      <c r="AP73" s="29">
        <f t="shared" si="12"/>
        <v>0</v>
      </c>
      <c r="AQ73" s="29"/>
      <c r="AR73" s="29"/>
      <c r="AS73" s="29">
        <f t="shared" si="13"/>
        <v>0</v>
      </c>
      <c r="AT73" s="29"/>
      <c r="AU73" s="29"/>
      <c r="AV73" s="29"/>
      <c r="AW73" s="29"/>
      <c r="AX73" s="29"/>
      <c r="AY73" s="29"/>
      <c r="AZ73" s="29"/>
      <c r="BA73" s="29"/>
    </row>
    <row r="74" spans="1:53" ht="15.75" hidden="1">
      <c r="A74" s="29" t="s">
        <v>74</v>
      </c>
      <c r="B74" s="29"/>
      <c r="C74" s="29">
        <f>AE57/W56*W55</f>
        <v>0</v>
      </c>
      <c r="D74" s="29"/>
      <c r="E74" s="29"/>
      <c r="F74" s="29">
        <f>-AE57</f>
        <v>0</v>
      </c>
      <c r="G74" s="29"/>
      <c r="H74" s="29"/>
      <c r="I74" s="29">
        <v>1</v>
      </c>
      <c r="J74" s="29"/>
      <c r="K74" s="29"/>
      <c r="L74" s="29">
        <f t="shared" si="10"/>
        <v>0</v>
      </c>
      <c r="M74" s="29"/>
      <c r="N74" s="29"/>
      <c r="O74" s="29">
        <f>-AE57*W56/2</f>
        <v>0</v>
      </c>
      <c r="P74" s="29"/>
      <c r="Q74" s="29"/>
      <c r="R74" s="29">
        <f>-AE57*W57</f>
        <v>0</v>
      </c>
      <c r="S74" s="29"/>
      <c r="T74" s="29"/>
      <c r="U74" s="29">
        <f>$W$55*2/3</f>
        <v>2.6666666666666665</v>
      </c>
      <c r="V74" s="29"/>
      <c r="W74" s="29"/>
      <c r="X74" s="29">
        <f>$W$56+$W$55*3/4</f>
        <v>11</v>
      </c>
      <c r="Y74" s="29"/>
      <c r="Z74" s="29"/>
      <c r="AA74" s="29">
        <f>$W$56/3</f>
        <v>2.6666666666666665</v>
      </c>
      <c r="AB74" s="29"/>
      <c r="AC74" s="29"/>
      <c r="AD74" s="29">
        <f t="shared" si="14"/>
        <v>13</v>
      </c>
      <c r="AE74" s="29"/>
      <c r="AF74" s="29"/>
      <c r="AG74" s="29">
        <f>$W$57+$W$56/3</f>
        <v>4.666666666666666</v>
      </c>
      <c r="AH74" s="29"/>
      <c r="AI74" s="29"/>
      <c r="AJ74" s="29">
        <f>W57/2</f>
        <v>1</v>
      </c>
      <c r="AK74" s="29"/>
      <c r="AL74" s="29"/>
      <c r="AM74" s="29">
        <f t="shared" si="11"/>
        <v>0</v>
      </c>
      <c r="AN74" s="29"/>
      <c r="AO74" s="29"/>
      <c r="AP74" s="29">
        <f t="shared" si="12"/>
        <v>0</v>
      </c>
      <c r="AQ74" s="29"/>
      <c r="AR74" s="29"/>
      <c r="AS74" s="29">
        <f t="shared" si="13"/>
        <v>0</v>
      </c>
      <c r="AT74" s="29"/>
      <c r="AU74" s="29"/>
      <c r="AV74" s="29"/>
      <c r="AW74" s="29"/>
      <c r="AX74" s="29"/>
      <c r="AY74" s="29"/>
      <c r="AZ74" s="29"/>
      <c r="BA74" s="29"/>
    </row>
    <row r="75" spans="1:53" ht="12.75" hidden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>
        <f>SUM(L67:N74)</f>
        <v>-2858.6666666666665</v>
      </c>
      <c r="M75" s="29"/>
      <c r="N75" s="29"/>
      <c r="O75" s="29">
        <f>SUM(O67:Q74)</f>
        <v>0</v>
      </c>
      <c r="P75" s="29"/>
      <c r="Q75" s="29"/>
      <c r="R75" s="29">
        <f>SUM(R67:T74)</f>
        <v>0</v>
      </c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31">
        <f>SUM(AM67:AO74)</f>
        <v>8512</v>
      </c>
      <c r="AN75" s="31"/>
      <c r="AO75" s="31"/>
      <c r="AP75" s="29">
        <f>SUM(AP67:AR74)</f>
        <v>31445.333333333332</v>
      </c>
      <c r="AQ75" s="29"/>
      <c r="AR75" s="29"/>
      <c r="AS75" s="31">
        <f>SUM(AS67:AU74)</f>
        <v>37162.666666666664</v>
      </c>
      <c r="AT75" s="31"/>
      <c r="AU75" s="31"/>
      <c r="AV75" s="29"/>
      <c r="AW75" s="29"/>
      <c r="AX75" s="29"/>
      <c r="AY75" s="29"/>
      <c r="AZ75" s="29"/>
      <c r="BA75" s="29"/>
    </row>
    <row r="76" spans="3:53" ht="12.75" hidden="1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>
        <f>AP75-$AP$75/$W$56*($W$56)</f>
        <v>0</v>
      </c>
      <c r="AQ76" s="29"/>
      <c r="AR76" s="29"/>
      <c r="AS76" s="29">
        <f>AS75-$AP$75/$W$56*($W$56+$W$57)</f>
        <v>-2144</v>
      </c>
      <c r="AT76" s="29"/>
      <c r="AU76" s="29"/>
      <c r="AV76" s="29"/>
      <c r="AW76" s="29"/>
      <c r="AX76" s="29"/>
      <c r="AY76" s="29"/>
      <c r="AZ76" s="29"/>
      <c r="BA76" s="29"/>
    </row>
    <row r="77" spans="36:47" ht="15.75" hidden="1">
      <c r="AJ77" s="30" t="s">
        <v>88</v>
      </c>
      <c r="AK77" s="29"/>
      <c r="AL77" s="29"/>
      <c r="AM77" s="31">
        <f>-L75</f>
        <v>2858.6666666666665</v>
      </c>
      <c r="AN77" s="31"/>
      <c r="AO77" s="31"/>
      <c r="AP77" s="31">
        <f>-($L$75+$O$75)-$AP$75/$W$56</f>
        <v>-1072</v>
      </c>
      <c r="AQ77" s="31"/>
      <c r="AR77" s="31"/>
      <c r="AS77" s="31">
        <f>-($L$75+$O$75+$R$75)-$AP$75/$W$56</f>
        <v>-1072</v>
      </c>
      <c r="AT77" s="31"/>
      <c r="AU77" s="31"/>
    </row>
    <row r="78" spans="36:47" ht="15.75" hidden="1">
      <c r="AJ78" s="30" t="s">
        <v>89</v>
      </c>
      <c r="AK78" s="29"/>
      <c r="AL78" s="29"/>
      <c r="AM78" s="31">
        <f>AM77-AP75/W56</f>
        <v>-1072</v>
      </c>
      <c r="AN78" s="31"/>
      <c r="AO78" s="31"/>
      <c r="AP78" s="29"/>
      <c r="AQ78" s="29"/>
      <c r="AR78" s="29"/>
      <c r="AS78" s="29"/>
      <c r="AT78" s="29"/>
      <c r="AU78" s="29"/>
    </row>
    <row r="79" spans="36:41" ht="15.75" hidden="1">
      <c r="AJ79" s="30" t="s">
        <v>90</v>
      </c>
      <c r="AK79" s="29"/>
      <c r="AL79" s="29"/>
      <c r="AM79" s="31">
        <f>AP75/W56</f>
        <v>3930.6666666666665</v>
      </c>
      <c r="AN79" s="31"/>
      <c r="AO79" s="31"/>
    </row>
    <row r="80" spans="36:41" ht="12.75">
      <c r="AJ80" s="4"/>
      <c r="AK80" s="2"/>
      <c r="AL80" s="2"/>
      <c r="AM80" s="6"/>
      <c r="AN80" s="6"/>
      <c r="AO80" s="6"/>
    </row>
    <row r="81" spans="2:41" ht="12.75">
      <c r="B81" s="36" t="s">
        <v>96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8"/>
      <c r="AJ81" s="4"/>
      <c r="AK81" s="2"/>
      <c r="AL81" s="2"/>
      <c r="AM81" s="6"/>
      <c r="AN81" s="6"/>
      <c r="AO81" s="6"/>
    </row>
    <row r="82" spans="2:31" ht="12.75">
      <c r="B82" s="47"/>
      <c r="C82" s="48"/>
      <c r="D82" s="48"/>
      <c r="E82" s="22" t="s">
        <v>65</v>
      </c>
      <c r="F82" s="23"/>
      <c r="G82" s="23"/>
      <c r="H82" s="17" t="b">
        <f>IF(E82="igen",TRUE)</f>
        <v>0</v>
      </c>
      <c r="I82" s="22" t="s">
        <v>65</v>
      </c>
      <c r="J82" s="23"/>
      <c r="K82" s="23"/>
      <c r="L82" s="17" t="b">
        <f>IF(I82="igen",TRUE)</f>
        <v>0</v>
      </c>
      <c r="M82" s="22" t="s">
        <v>65</v>
      </c>
      <c r="N82" s="23"/>
      <c r="O82" s="23"/>
      <c r="P82" s="17" t="b">
        <f>IF(M82="igen",TRUE)</f>
        <v>0</v>
      </c>
      <c r="Q82" s="47"/>
      <c r="R82" s="48"/>
      <c r="S82" s="48"/>
      <c r="T82" s="22" t="s">
        <v>65</v>
      </c>
      <c r="U82" s="23"/>
      <c r="V82" s="23"/>
      <c r="W82" s="17" t="b">
        <f>IF(T82="igen",TRUE)</f>
        <v>0</v>
      </c>
      <c r="X82" s="22" t="s">
        <v>65</v>
      </c>
      <c r="Y82" s="23"/>
      <c r="Z82" s="23"/>
      <c r="AA82" s="17" t="b">
        <f>IF(X82="igen",TRUE)</f>
        <v>0</v>
      </c>
      <c r="AB82" s="22" t="s">
        <v>65</v>
      </c>
      <c r="AC82" s="23"/>
      <c r="AD82" s="23"/>
      <c r="AE82" s="17" t="b">
        <f>IF(AB82="igen",TRUE)</f>
        <v>0</v>
      </c>
    </row>
    <row r="83" spans="2:31" ht="12.75" customHeight="1">
      <c r="B83" s="33"/>
      <c r="C83" s="33"/>
      <c r="D83" s="33"/>
      <c r="E83" s="24" t="s">
        <v>19</v>
      </c>
      <c r="F83" s="25"/>
      <c r="G83" s="25"/>
      <c r="H83" s="26"/>
      <c r="I83" s="24" t="s">
        <v>71</v>
      </c>
      <c r="J83" s="25"/>
      <c r="K83" s="25"/>
      <c r="L83" s="26"/>
      <c r="M83" s="24" t="s">
        <v>75</v>
      </c>
      <c r="N83" s="25"/>
      <c r="O83" s="25"/>
      <c r="P83" s="26"/>
      <c r="Q83" s="33"/>
      <c r="R83" s="33"/>
      <c r="S83" s="33"/>
      <c r="T83" s="24" t="s">
        <v>19</v>
      </c>
      <c r="U83" s="25"/>
      <c r="V83" s="25"/>
      <c r="W83" s="26"/>
      <c r="X83" s="24" t="s">
        <v>71</v>
      </c>
      <c r="Y83" s="25"/>
      <c r="Z83" s="25"/>
      <c r="AA83" s="26"/>
      <c r="AB83" s="24" t="s">
        <v>75</v>
      </c>
      <c r="AC83" s="25"/>
      <c r="AD83" s="25"/>
      <c r="AE83" s="26"/>
    </row>
    <row r="84" spans="2:31" ht="12.75" customHeight="1">
      <c r="B84" s="21" t="s">
        <v>97</v>
      </c>
      <c r="C84" s="21"/>
      <c r="D84" s="21"/>
      <c r="E84" s="44">
        <f>AM75</f>
        <v>8512</v>
      </c>
      <c r="F84" s="45"/>
      <c r="G84" s="45"/>
      <c r="H84" s="46"/>
      <c r="I84" s="44"/>
      <c r="J84" s="45"/>
      <c r="K84" s="45"/>
      <c r="L84" s="46"/>
      <c r="M84" s="44">
        <f>AS75</f>
        <v>37162.666666666664</v>
      </c>
      <c r="N84" s="45"/>
      <c r="O84" s="45"/>
      <c r="P84" s="46"/>
      <c r="Q84" s="21" t="s">
        <v>91</v>
      </c>
      <c r="R84" s="21"/>
      <c r="S84" s="21"/>
      <c r="T84" s="39">
        <f>E84/$AE$61</f>
        <v>0.08512</v>
      </c>
      <c r="U84" s="40"/>
      <c r="V84" s="40"/>
      <c r="W84" s="41"/>
      <c r="X84" s="39"/>
      <c r="Y84" s="40"/>
      <c r="Z84" s="40"/>
      <c r="AA84" s="41"/>
      <c r="AB84" s="39">
        <f>M84/$AE$61</f>
        <v>0.37162666666666666</v>
      </c>
      <c r="AC84" s="40"/>
      <c r="AD84" s="40"/>
      <c r="AE84" s="41"/>
    </row>
    <row r="85" spans="2:31" ht="12.75" customHeight="1">
      <c r="B85" s="42" t="s">
        <v>98</v>
      </c>
      <c r="C85" s="43"/>
      <c r="D85" s="43"/>
      <c r="E85" s="44">
        <f>AM77</f>
        <v>2858.6666666666665</v>
      </c>
      <c r="F85" s="45"/>
      <c r="G85" s="45"/>
      <c r="H85" s="46"/>
      <c r="I85" s="44">
        <f>AP77</f>
        <v>-1072</v>
      </c>
      <c r="J85" s="45"/>
      <c r="K85" s="45"/>
      <c r="L85" s="46"/>
      <c r="M85" s="44">
        <f>AS77</f>
        <v>-1072</v>
      </c>
      <c r="N85" s="45"/>
      <c r="O85" s="45"/>
      <c r="P85" s="46"/>
      <c r="Q85" s="42" t="s">
        <v>93</v>
      </c>
      <c r="R85" s="43"/>
      <c r="S85" s="43"/>
      <c r="T85" s="39">
        <f>E85/$AE$61</f>
        <v>0.028586666666666666</v>
      </c>
      <c r="U85" s="40"/>
      <c r="V85" s="40"/>
      <c r="W85" s="41"/>
      <c r="X85" s="39">
        <f>I85/$AE$61</f>
        <v>-0.01072</v>
      </c>
      <c r="Y85" s="40"/>
      <c r="Z85" s="40"/>
      <c r="AA85" s="41"/>
      <c r="AB85" s="39">
        <f>M85/$AE$61</f>
        <v>-0.01072</v>
      </c>
      <c r="AC85" s="40"/>
      <c r="AD85" s="40"/>
      <c r="AE85" s="41"/>
    </row>
    <row r="86" spans="2:31" ht="12.75" customHeight="1">
      <c r="B86" s="42" t="s">
        <v>99</v>
      </c>
      <c r="C86" s="43"/>
      <c r="D86" s="43"/>
      <c r="E86" s="44">
        <f>AM78</f>
        <v>-1072</v>
      </c>
      <c r="F86" s="45"/>
      <c r="G86" s="45"/>
      <c r="H86" s="46"/>
      <c r="I86" s="44">
        <f>AP77</f>
        <v>-1072</v>
      </c>
      <c r="J86" s="45"/>
      <c r="K86" s="45"/>
      <c r="L86" s="46"/>
      <c r="M86" s="44">
        <f>AS77</f>
        <v>-1072</v>
      </c>
      <c r="N86" s="45"/>
      <c r="O86" s="45"/>
      <c r="P86" s="46"/>
      <c r="Q86" s="42" t="s">
        <v>94</v>
      </c>
      <c r="R86" s="43"/>
      <c r="S86" s="43"/>
      <c r="T86" s="39">
        <f>E86/$AE$61</f>
        <v>-0.01072</v>
      </c>
      <c r="U86" s="40"/>
      <c r="V86" s="40"/>
      <c r="W86" s="41"/>
      <c r="X86" s="39">
        <f>I86/$AE$61</f>
        <v>-0.01072</v>
      </c>
      <c r="Y86" s="40"/>
      <c r="Z86" s="40"/>
      <c r="AA86" s="41"/>
      <c r="AB86" s="39">
        <f>M86/$AE$61</f>
        <v>-0.01072</v>
      </c>
      <c r="AC86" s="40"/>
      <c r="AD86" s="40"/>
      <c r="AE86" s="41"/>
    </row>
    <row r="87" spans="2:31" ht="12.75" customHeight="1">
      <c r="B87" s="42" t="s">
        <v>100</v>
      </c>
      <c r="C87" s="43"/>
      <c r="D87" s="43"/>
      <c r="E87" s="44">
        <f>AM79</f>
        <v>3930.6666666666665</v>
      </c>
      <c r="F87" s="45"/>
      <c r="G87" s="45"/>
      <c r="H87" s="46"/>
      <c r="I87" s="44"/>
      <c r="J87" s="45"/>
      <c r="K87" s="45"/>
      <c r="L87" s="46"/>
      <c r="M87" s="44"/>
      <c r="N87" s="45"/>
      <c r="O87" s="45"/>
      <c r="P87" s="46"/>
      <c r="Q87" s="42" t="s">
        <v>95</v>
      </c>
      <c r="R87" s="43"/>
      <c r="S87" s="43"/>
      <c r="T87" s="39">
        <f>E87/$AE$61</f>
        <v>0.03930666666666666</v>
      </c>
      <c r="U87" s="40"/>
      <c r="V87" s="40"/>
      <c r="W87" s="41"/>
      <c r="X87" s="39"/>
      <c r="Y87" s="40"/>
      <c r="Z87" s="40"/>
      <c r="AA87" s="41"/>
      <c r="AB87" s="39"/>
      <c r="AC87" s="40"/>
      <c r="AD87" s="40"/>
      <c r="AE87" s="41"/>
    </row>
    <row r="90" spans="22:35" s="67" customFormat="1" ht="12.75" customHeight="1">
      <c r="V90" s="68" t="s">
        <v>96</v>
      </c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70"/>
    </row>
    <row r="91" spans="22:35" s="67" customFormat="1" ht="12.75" customHeight="1">
      <c r="V91" s="71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3"/>
    </row>
    <row r="92" spans="1:68" s="67" customFormat="1" ht="12.75" customHeight="1">
      <c r="A92" s="67" t="s">
        <v>0</v>
      </c>
      <c r="V92" s="74"/>
      <c r="W92" s="75"/>
      <c r="X92" s="94" t="s">
        <v>109</v>
      </c>
      <c r="Y92" s="93"/>
      <c r="Z92" s="93"/>
      <c r="AA92" s="95"/>
      <c r="AB92" s="76" t="b">
        <f>IF(X92="igen",TRUE)</f>
        <v>1</v>
      </c>
      <c r="AC92" s="94" t="s">
        <v>109</v>
      </c>
      <c r="AD92" s="93"/>
      <c r="AE92" s="93"/>
      <c r="AF92" s="93"/>
      <c r="AG92" s="93"/>
      <c r="AH92" s="95"/>
      <c r="AI92" s="77" t="b">
        <f>IF(AC92="igen",TRUE)</f>
        <v>1</v>
      </c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</row>
    <row r="93" spans="4:35" s="67" customFormat="1" ht="12.75" customHeight="1">
      <c r="D93" s="79" t="s">
        <v>71</v>
      </c>
      <c r="H93" s="79" t="s">
        <v>20</v>
      </c>
      <c r="I93" s="79"/>
      <c r="J93" s="79" t="s">
        <v>103</v>
      </c>
      <c r="N93" s="80" t="s">
        <v>102</v>
      </c>
      <c r="O93" s="80"/>
      <c r="P93" s="32">
        <v>3</v>
      </c>
      <c r="Q93" s="32"/>
      <c r="R93" s="32"/>
      <c r="S93" s="80" t="s">
        <v>51</v>
      </c>
      <c r="T93" s="80"/>
      <c r="V93" s="81" t="s">
        <v>118</v>
      </c>
      <c r="W93" s="81"/>
      <c r="X93" s="66">
        <f>AJ116</f>
        <v>10</v>
      </c>
      <c r="Y93" s="66"/>
      <c r="Z93" s="66"/>
      <c r="AA93" s="81" t="s">
        <v>49</v>
      </c>
      <c r="AB93" s="81"/>
      <c r="AC93" s="82" t="s">
        <v>120</v>
      </c>
      <c r="AD93" s="81"/>
      <c r="AE93" s="96">
        <f>X93/$P$102</f>
        <v>0.0001</v>
      </c>
      <c r="AF93" s="97"/>
      <c r="AG93" s="97"/>
      <c r="AH93" s="98"/>
      <c r="AI93" s="83"/>
    </row>
    <row r="94" spans="8:35" s="67" customFormat="1" ht="12.75" customHeight="1">
      <c r="H94" s="67" t="s">
        <v>2</v>
      </c>
      <c r="K94" s="67" t="s">
        <v>3</v>
      </c>
      <c r="N94" s="80" t="s">
        <v>10</v>
      </c>
      <c r="O94" s="80"/>
      <c r="P94" s="32">
        <v>4</v>
      </c>
      <c r="Q94" s="32"/>
      <c r="R94" s="32"/>
      <c r="S94" s="80" t="s">
        <v>51</v>
      </c>
      <c r="T94" s="80"/>
      <c r="V94" s="80" t="s">
        <v>119</v>
      </c>
      <c r="W94" s="80"/>
      <c r="X94" s="66">
        <f>AJ116-(O115+U115+AA115)</f>
        <v>-10</v>
      </c>
      <c r="Y94" s="66"/>
      <c r="Z94" s="66"/>
      <c r="AA94" s="80" t="s">
        <v>49</v>
      </c>
      <c r="AB94" s="80"/>
      <c r="AC94" s="84" t="s">
        <v>121</v>
      </c>
      <c r="AD94" s="80"/>
      <c r="AE94" s="96">
        <f>X94/$P$102</f>
        <v>-0.0001</v>
      </c>
      <c r="AF94" s="97"/>
      <c r="AG94" s="97"/>
      <c r="AH94" s="98"/>
      <c r="AI94" s="85"/>
    </row>
    <row r="95" spans="5:26" s="67" customFormat="1" ht="12.75" customHeight="1">
      <c r="E95" s="79"/>
      <c r="F95" s="79"/>
      <c r="G95" s="79"/>
      <c r="L95" s="67" t="s">
        <v>101</v>
      </c>
      <c r="M95" s="86">
        <f>IF(P94=0,"NA NE SZÓRAKOZZ VELEM!","")</f>
      </c>
      <c r="N95" s="86"/>
      <c r="O95" s="86"/>
      <c r="P95" s="86"/>
      <c r="Q95" s="86"/>
      <c r="R95" s="86"/>
      <c r="S95" s="86"/>
      <c r="T95" s="86"/>
      <c r="U95" s="86"/>
      <c r="V95" s="86"/>
      <c r="W95" s="87"/>
      <c r="X95" s="87"/>
      <c r="Y95" s="87"/>
      <c r="Z95" s="87"/>
    </row>
    <row r="96" spans="2:35" s="67" customFormat="1" ht="12.75" customHeight="1">
      <c r="B96" s="67" t="s">
        <v>1</v>
      </c>
      <c r="J96" s="67" t="s">
        <v>4</v>
      </c>
      <c r="N96" s="88" t="s">
        <v>15</v>
      </c>
      <c r="O96" s="88"/>
      <c r="P96" s="32">
        <v>0</v>
      </c>
      <c r="Q96" s="32"/>
      <c r="R96" s="32"/>
      <c r="S96" s="80" t="s">
        <v>54</v>
      </c>
      <c r="T96" s="80"/>
      <c r="V96" s="80" t="s">
        <v>122</v>
      </c>
      <c r="W96" s="80"/>
      <c r="X96" s="92">
        <f>AM116</f>
        <v>30</v>
      </c>
      <c r="Y96" s="92"/>
      <c r="Z96" s="92"/>
      <c r="AA96" s="80" t="s">
        <v>53</v>
      </c>
      <c r="AB96" s="80"/>
      <c r="AC96" s="89" t="s">
        <v>128</v>
      </c>
      <c r="AD96" s="80"/>
      <c r="AE96" s="92">
        <f>X96/$P$102*1000</f>
        <v>0.3</v>
      </c>
      <c r="AF96" s="92"/>
      <c r="AG96" s="92"/>
      <c r="AH96" s="80" t="s">
        <v>110</v>
      </c>
      <c r="AI96" s="80"/>
    </row>
    <row r="97" spans="14:35" s="67" customFormat="1" ht="12.75" customHeight="1">
      <c r="N97" s="88" t="s">
        <v>16</v>
      </c>
      <c r="O97" s="88"/>
      <c r="P97" s="32">
        <v>0</v>
      </c>
      <c r="Q97" s="32"/>
      <c r="R97" s="32"/>
      <c r="S97" s="80" t="s">
        <v>54</v>
      </c>
      <c r="T97" s="80"/>
      <c r="V97" s="80" t="s">
        <v>124</v>
      </c>
      <c r="W97" s="80"/>
      <c r="X97" s="66">
        <f>AS116</f>
        <v>26.666666666666668</v>
      </c>
      <c r="Y97" s="66"/>
      <c r="Z97" s="66"/>
      <c r="AA97" s="80" t="s">
        <v>53</v>
      </c>
      <c r="AB97" s="80"/>
      <c r="AC97" s="89" t="s">
        <v>129</v>
      </c>
      <c r="AD97" s="80"/>
      <c r="AE97" s="66">
        <f>X97/$P$102*1000</f>
        <v>0.26666666666666666</v>
      </c>
      <c r="AF97" s="66"/>
      <c r="AG97" s="66"/>
      <c r="AH97" s="80" t="s">
        <v>110</v>
      </c>
      <c r="AI97" s="80"/>
    </row>
    <row r="98" spans="14:35" s="67" customFormat="1" ht="12.75" customHeight="1">
      <c r="N98" s="88" t="s">
        <v>17</v>
      </c>
      <c r="O98" s="88"/>
      <c r="P98" s="32">
        <v>0</v>
      </c>
      <c r="Q98" s="32"/>
      <c r="R98" s="32"/>
      <c r="S98" s="80" t="s">
        <v>54</v>
      </c>
      <c r="T98" s="80"/>
      <c r="V98" s="80" t="s">
        <v>123</v>
      </c>
      <c r="W98" s="80"/>
      <c r="X98" s="66">
        <f>BB116</f>
        <v>40</v>
      </c>
      <c r="Y98" s="66"/>
      <c r="Z98" s="66"/>
      <c r="AA98" s="80" t="s">
        <v>53</v>
      </c>
      <c r="AB98" s="80"/>
      <c r="AC98" s="89" t="s">
        <v>130</v>
      </c>
      <c r="AD98" s="80"/>
      <c r="AE98" s="66">
        <f>X98/$P$102*1000</f>
        <v>0.4</v>
      </c>
      <c r="AF98" s="66"/>
      <c r="AG98" s="66"/>
      <c r="AH98" s="80" t="s">
        <v>110</v>
      </c>
      <c r="AI98" s="80"/>
    </row>
    <row r="99" spans="3:12" s="67" customFormat="1" ht="12.75" customHeight="1">
      <c r="C99" s="79" t="s">
        <v>18</v>
      </c>
      <c r="L99" s="79" t="s">
        <v>19</v>
      </c>
    </row>
    <row r="100" spans="5:35" s="67" customFormat="1" ht="12.75" customHeight="1">
      <c r="E100" s="67" t="s">
        <v>7</v>
      </c>
      <c r="I100" s="67" t="s">
        <v>7</v>
      </c>
      <c r="N100" s="88" t="s">
        <v>12</v>
      </c>
      <c r="O100" s="88"/>
      <c r="P100" s="32">
        <v>0</v>
      </c>
      <c r="Q100" s="32"/>
      <c r="R100" s="32"/>
      <c r="S100" s="80" t="s">
        <v>55</v>
      </c>
      <c r="T100" s="80"/>
      <c r="V100" s="80" t="s">
        <v>125</v>
      </c>
      <c r="W100" s="80"/>
      <c r="X100" s="92">
        <f>AJ116-O115</f>
        <v>10</v>
      </c>
      <c r="Y100" s="92"/>
      <c r="Z100" s="92"/>
      <c r="AA100" s="80" t="s">
        <v>49</v>
      </c>
      <c r="AB100" s="80"/>
      <c r="AC100" s="84" t="s">
        <v>131</v>
      </c>
      <c r="AD100" s="80"/>
      <c r="AE100" s="96">
        <f>X100/$P$102</f>
        <v>0.0001</v>
      </c>
      <c r="AF100" s="97"/>
      <c r="AG100" s="97"/>
      <c r="AH100" s="98"/>
      <c r="AI100" s="85"/>
    </row>
    <row r="101" spans="14:35" s="67" customFormat="1" ht="12.75" customHeight="1">
      <c r="N101" s="88" t="s">
        <v>13</v>
      </c>
      <c r="O101" s="88"/>
      <c r="P101" s="32">
        <v>10</v>
      </c>
      <c r="Q101" s="32"/>
      <c r="R101" s="32"/>
      <c r="S101" s="80" t="s">
        <v>55</v>
      </c>
      <c r="T101" s="80"/>
      <c r="V101" s="80" t="s">
        <v>126</v>
      </c>
      <c r="W101" s="80"/>
      <c r="X101" s="66">
        <f>AJ116-(O115+R115)</f>
        <v>0</v>
      </c>
      <c r="Y101" s="66"/>
      <c r="Z101" s="66"/>
      <c r="AA101" s="80" t="s">
        <v>49</v>
      </c>
      <c r="AB101" s="80"/>
      <c r="AC101" s="84" t="s">
        <v>132</v>
      </c>
      <c r="AD101" s="80"/>
      <c r="AE101" s="96">
        <f>X101/$P$102</f>
        <v>0</v>
      </c>
      <c r="AF101" s="97"/>
      <c r="AG101" s="97"/>
      <c r="AH101" s="98"/>
      <c r="AI101" s="85"/>
    </row>
    <row r="102" spans="14:35" s="67" customFormat="1" ht="12.75" customHeight="1">
      <c r="N102" s="90" t="s">
        <v>48</v>
      </c>
      <c r="O102" s="90"/>
      <c r="P102" s="34">
        <v>100000</v>
      </c>
      <c r="Q102" s="34"/>
      <c r="R102" s="34"/>
      <c r="S102" s="91" t="s">
        <v>52</v>
      </c>
      <c r="T102" s="91"/>
      <c r="V102" s="80" t="s">
        <v>127</v>
      </c>
      <c r="W102" s="80"/>
      <c r="X102" s="66">
        <f>AJ116-(O115+U115)</f>
        <v>-10</v>
      </c>
      <c r="Y102" s="66"/>
      <c r="Z102" s="66"/>
      <c r="AA102" s="80" t="s">
        <v>49</v>
      </c>
      <c r="AB102" s="80"/>
      <c r="AC102" s="84" t="s">
        <v>133</v>
      </c>
      <c r="AD102" s="80"/>
      <c r="AE102" s="96">
        <f>X102/$P$102</f>
        <v>-0.0001</v>
      </c>
      <c r="AF102" s="97"/>
      <c r="AG102" s="97"/>
      <c r="AH102" s="98"/>
      <c r="AI102" s="85"/>
    </row>
    <row r="103" s="67" customFormat="1" ht="12.75"/>
    <row r="104" ht="12.75" hidden="1"/>
    <row r="105" ht="12.75" hidden="1"/>
    <row r="106" ht="12.75" hidden="1"/>
    <row r="107" ht="12.75" hidden="1"/>
    <row r="108" spans="1:91" ht="15.75" hidden="1">
      <c r="A108" s="29"/>
      <c r="B108" s="29"/>
      <c r="C108" s="29" t="s">
        <v>76</v>
      </c>
      <c r="D108" s="29"/>
      <c r="E108" s="29"/>
      <c r="F108" s="29"/>
      <c r="G108" s="29"/>
      <c r="H108" s="29"/>
      <c r="I108" s="29"/>
      <c r="J108" s="29"/>
      <c r="K108" s="29"/>
      <c r="L108" s="29" t="s">
        <v>84</v>
      </c>
      <c r="M108" s="29"/>
      <c r="N108" s="29"/>
      <c r="O108" s="29" t="s">
        <v>80</v>
      </c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 t="s">
        <v>85</v>
      </c>
      <c r="AE108" s="29"/>
      <c r="AF108" s="29"/>
      <c r="AG108" s="2"/>
      <c r="AH108" s="2"/>
      <c r="AI108" s="2"/>
      <c r="AJ108" s="29" t="s">
        <v>111</v>
      </c>
      <c r="AK108" s="29"/>
      <c r="AL108" s="29"/>
      <c r="AM108" s="29" t="s">
        <v>112</v>
      </c>
      <c r="AN108" s="29"/>
      <c r="AO108" s="29"/>
      <c r="AP108" s="29" t="s">
        <v>113</v>
      </c>
      <c r="AQ108" s="29"/>
      <c r="AR108" s="29"/>
      <c r="AS108" s="29" t="s">
        <v>113</v>
      </c>
      <c r="AT108" s="29"/>
      <c r="AU108" s="29"/>
      <c r="AV108" s="29" t="s">
        <v>114</v>
      </c>
      <c r="AW108" s="29"/>
      <c r="AX108" s="29"/>
      <c r="AY108" s="29" t="s">
        <v>114</v>
      </c>
      <c r="AZ108" s="29"/>
      <c r="BA108" s="29"/>
      <c r="BB108" s="29" t="s">
        <v>114</v>
      </c>
      <c r="BC108" s="29"/>
      <c r="BD108" s="29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7"/>
      <c r="CJ108" s="27"/>
      <c r="CK108" s="27"/>
      <c r="CL108" s="27"/>
      <c r="CM108" s="27"/>
    </row>
    <row r="109" spans="1:91" ht="12.75" hidden="1">
      <c r="A109" s="29"/>
      <c r="B109" s="29"/>
      <c r="C109" s="29" t="s">
        <v>71</v>
      </c>
      <c r="D109" s="29"/>
      <c r="E109" s="29"/>
      <c r="F109" s="29" t="s">
        <v>20</v>
      </c>
      <c r="G109" s="29"/>
      <c r="H109" s="29"/>
      <c r="I109" s="29" t="s">
        <v>103</v>
      </c>
      <c r="J109" s="29"/>
      <c r="K109" s="29"/>
      <c r="L109" s="29"/>
      <c r="M109" s="29"/>
      <c r="N109" s="29"/>
      <c r="O109" s="29" t="s">
        <v>104</v>
      </c>
      <c r="P109" s="29"/>
      <c r="Q109" s="29"/>
      <c r="R109" s="29" t="s">
        <v>107</v>
      </c>
      <c r="S109" s="29"/>
      <c r="T109" s="29"/>
      <c r="U109" s="29" t="s">
        <v>105</v>
      </c>
      <c r="V109" s="29"/>
      <c r="W109" s="29"/>
      <c r="X109" s="29" t="s">
        <v>108</v>
      </c>
      <c r="Y109" s="29"/>
      <c r="Z109" s="29"/>
      <c r="AA109" s="29" t="s">
        <v>106</v>
      </c>
      <c r="AB109" s="29"/>
      <c r="AC109" s="29"/>
      <c r="AD109" s="29" t="s">
        <v>104</v>
      </c>
      <c r="AE109" s="29"/>
      <c r="AF109" s="29"/>
      <c r="AG109" s="29" t="s">
        <v>105</v>
      </c>
      <c r="AH109" s="29"/>
      <c r="AI109" s="29"/>
      <c r="AJ109" s="29"/>
      <c r="AK109" s="29"/>
      <c r="AL109" s="29"/>
      <c r="AM109" s="29" t="s">
        <v>81</v>
      </c>
      <c r="AN109" s="29"/>
      <c r="AO109" s="29"/>
      <c r="AP109" s="29" t="s">
        <v>104</v>
      </c>
      <c r="AQ109" s="29"/>
      <c r="AR109" s="29"/>
      <c r="AS109" s="29" t="s">
        <v>107</v>
      </c>
      <c r="AT109" s="29"/>
      <c r="AU109" s="29"/>
      <c r="AV109" s="29" t="s">
        <v>104</v>
      </c>
      <c r="AW109" s="29"/>
      <c r="AX109" s="29"/>
      <c r="AY109" s="29" t="s">
        <v>105</v>
      </c>
      <c r="AZ109" s="29"/>
      <c r="BA109" s="29"/>
      <c r="BB109" s="29" t="s">
        <v>106</v>
      </c>
      <c r="BC109" s="29"/>
      <c r="BD109" s="29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7"/>
      <c r="CJ109" s="27"/>
      <c r="CK109" s="27"/>
      <c r="CL109" s="27"/>
      <c r="CM109" s="27"/>
    </row>
    <row r="110" spans="1:91" ht="15.75" hidden="1">
      <c r="A110" s="29" t="s">
        <v>1</v>
      </c>
      <c r="B110" s="29"/>
      <c r="C110" s="29">
        <f>$P$96*$P$93*$P$93/2</f>
        <v>0</v>
      </c>
      <c r="D110" s="29"/>
      <c r="E110" s="29"/>
      <c r="F110" s="29">
        <f>$P$96*$P$93*$P$93/4</f>
        <v>0</v>
      </c>
      <c r="G110" s="29"/>
      <c r="H110" s="29"/>
      <c r="I110" s="29">
        <v>0</v>
      </c>
      <c r="J110" s="29"/>
      <c r="K110" s="29"/>
      <c r="L110" s="29">
        <v>2</v>
      </c>
      <c r="M110" s="29"/>
      <c r="N110" s="29"/>
      <c r="O110" s="29">
        <f>C110*P93*2/3</f>
        <v>0</v>
      </c>
      <c r="P110" s="29"/>
      <c r="Q110" s="29"/>
      <c r="R110" s="29">
        <f>$C110*$P$94/2*3/4</f>
        <v>0</v>
      </c>
      <c r="S110" s="29"/>
      <c r="T110" s="29"/>
      <c r="U110" s="29">
        <f>$C110*$P$94/2</f>
        <v>0</v>
      </c>
      <c r="V110" s="29"/>
      <c r="W110" s="29"/>
      <c r="X110" s="29">
        <f>$C110*$P$94/2*1/4</f>
        <v>0</v>
      </c>
      <c r="Y110" s="29"/>
      <c r="Z110" s="29"/>
      <c r="AA110" s="29">
        <v>0</v>
      </c>
      <c r="AB110" s="29"/>
      <c r="AC110" s="29"/>
      <c r="AD110" s="29">
        <f>$P$94</f>
        <v>4</v>
      </c>
      <c r="AE110" s="29"/>
      <c r="AF110" s="29"/>
      <c r="AG110" s="29">
        <f>$P$94*2/3</f>
        <v>2.6666666666666665</v>
      </c>
      <c r="AH110" s="29"/>
      <c r="AI110" s="29"/>
      <c r="AJ110" s="29">
        <f>O110*AD110+U110*AG110</f>
        <v>0</v>
      </c>
      <c r="AK110" s="29"/>
      <c r="AL110" s="29"/>
      <c r="AM110" s="29">
        <f>$O110*$P$93*3/8</f>
        <v>0</v>
      </c>
      <c r="AN110" s="29"/>
      <c r="AO110" s="29"/>
      <c r="AP110" s="29">
        <f>$O110*$P$94/2</f>
        <v>0</v>
      </c>
      <c r="AQ110" s="29"/>
      <c r="AR110" s="29"/>
      <c r="AS110" s="29">
        <f>R110*($P$94/4*2+$P$94/2*2/3)/3</f>
        <v>0</v>
      </c>
      <c r="AT110" s="29"/>
      <c r="AU110" s="29"/>
      <c r="AV110" s="29">
        <f>$O110*$P$93*5/8</f>
        <v>0</v>
      </c>
      <c r="AW110" s="29"/>
      <c r="AX110" s="29"/>
      <c r="AY110" s="29">
        <f>U110*AG110</f>
        <v>0</v>
      </c>
      <c r="AZ110" s="29"/>
      <c r="BA110" s="29"/>
      <c r="BB110" s="29">
        <v>0</v>
      </c>
      <c r="BC110" s="29"/>
      <c r="BD110" s="29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7"/>
      <c r="CJ110" s="27"/>
      <c r="CK110" s="27"/>
      <c r="CL110" s="27"/>
      <c r="CM110" s="27"/>
    </row>
    <row r="111" spans="1:91" ht="15.75" hidden="1">
      <c r="A111" s="29" t="s">
        <v>68</v>
      </c>
      <c r="B111" s="29"/>
      <c r="C111" s="29">
        <v>0</v>
      </c>
      <c r="D111" s="29"/>
      <c r="E111" s="29"/>
      <c r="F111" s="29">
        <f>P97*P94*P94/8</f>
        <v>0</v>
      </c>
      <c r="G111" s="29"/>
      <c r="H111" s="29"/>
      <c r="I111" s="29">
        <v>0</v>
      </c>
      <c r="J111" s="29"/>
      <c r="K111" s="29"/>
      <c r="L111" s="29">
        <v>1</v>
      </c>
      <c r="M111" s="29"/>
      <c r="N111" s="29"/>
      <c r="O111" s="29">
        <v>0</v>
      </c>
      <c r="P111" s="29"/>
      <c r="Q111" s="29"/>
      <c r="R111" s="29">
        <f>$F$111*$P$94/2*2/3</f>
        <v>0</v>
      </c>
      <c r="S111" s="29"/>
      <c r="T111" s="29"/>
      <c r="U111" s="29">
        <f>$F$111*$P$94*2/3</f>
        <v>0</v>
      </c>
      <c r="V111" s="29"/>
      <c r="W111" s="29"/>
      <c r="X111" s="29">
        <f>$F$111*$P$94/2*2/3</f>
        <v>0</v>
      </c>
      <c r="Y111" s="29"/>
      <c r="Z111" s="29"/>
      <c r="AA111" s="29">
        <v>0</v>
      </c>
      <c r="AB111" s="29"/>
      <c r="AC111" s="29"/>
      <c r="AD111" s="29">
        <f>$P$94</f>
        <v>4</v>
      </c>
      <c r="AE111" s="29"/>
      <c r="AF111" s="29"/>
      <c r="AG111" s="29">
        <f>$P$94/2</f>
        <v>2</v>
      </c>
      <c r="AH111" s="29"/>
      <c r="AI111" s="29"/>
      <c r="AJ111" s="29">
        <f>O111*AD111+U111*AG111</f>
        <v>0</v>
      </c>
      <c r="AK111" s="29"/>
      <c r="AL111" s="29"/>
      <c r="AM111" s="29">
        <v>0</v>
      </c>
      <c r="AN111" s="29"/>
      <c r="AO111" s="29"/>
      <c r="AP111" s="29">
        <f>$O111*$P$94/2</f>
        <v>0</v>
      </c>
      <c r="AQ111" s="29"/>
      <c r="AR111" s="29"/>
      <c r="AS111" s="29">
        <f>R111*P94/2*3/8</f>
        <v>0</v>
      </c>
      <c r="AT111" s="29"/>
      <c r="AU111" s="29"/>
      <c r="AV111" s="29">
        <f>$O111*$P$93*5/8</f>
        <v>0</v>
      </c>
      <c r="AW111" s="29"/>
      <c r="AX111" s="29"/>
      <c r="AY111" s="29">
        <f>U111*AG111</f>
        <v>0</v>
      </c>
      <c r="AZ111" s="29"/>
      <c r="BA111" s="29"/>
      <c r="BB111" s="29">
        <v>0</v>
      </c>
      <c r="BC111" s="29"/>
      <c r="BD111" s="29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7"/>
      <c r="CJ111" s="27"/>
      <c r="CK111" s="27"/>
      <c r="CL111" s="27"/>
      <c r="CM111" s="27"/>
    </row>
    <row r="112" spans="1:91" ht="15.75" hidden="1">
      <c r="A112" s="29" t="s">
        <v>69</v>
      </c>
      <c r="B112" s="29"/>
      <c r="C112" s="29">
        <f>-$P$98*$P$93*$P$93</f>
        <v>0</v>
      </c>
      <c r="D112" s="29"/>
      <c r="E112" s="29"/>
      <c r="F112" s="29">
        <f>-$P$98*$P$93*$P$93/2*1.5</f>
        <v>0</v>
      </c>
      <c r="G112" s="29"/>
      <c r="H112" s="29"/>
      <c r="I112" s="29">
        <f>-$P$98*$P$93*$P$93/2</f>
        <v>0</v>
      </c>
      <c r="J112" s="29"/>
      <c r="K112" s="29"/>
      <c r="L112" s="29">
        <v>1</v>
      </c>
      <c r="M112" s="29"/>
      <c r="N112" s="29"/>
      <c r="O112" s="29">
        <f>C112*P93/2</f>
        <v>0</v>
      </c>
      <c r="P112" s="29"/>
      <c r="Q112" s="29"/>
      <c r="R112" s="29">
        <f>$I$112*$P$94/2+($C$112-$I$112)*$P$94/2/4*3</f>
        <v>0</v>
      </c>
      <c r="S112" s="29"/>
      <c r="T112" s="29"/>
      <c r="U112" s="29">
        <f>(C112+I112)/2*P94</f>
        <v>0</v>
      </c>
      <c r="V112" s="29"/>
      <c r="W112" s="29"/>
      <c r="X112" s="29">
        <f>$I$112*$P$94/2+($C$112-$I$112)*$P$94/2/4</f>
        <v>0</v>
      </c>
      <c r="Y112" s="29"/>
      <c r="Z112" s="29"/>
      <c r="AA112" s="29">
        <f>I112*P93/3</f>
        <v>0</v>
      </c>
      <c r="AB112" s="29"/>
      <c r="AC112" s="29"/>
      <c r="AD112" s="29">
        <f>$P$94</f>
        <v>4</v>
      </c>
      <c r="AE112" s="29"/>
      <c r="AF112" s="29"/>
      <c r="AG112" s="29">
        <f>(P94/2*2+P94*2/3)/3</f>
        <v>2.222222222222222</v>
      </c>
      <c r="AH112" s="29"/>
      <c r="AI112" s="29"/>
      <c r="AJ112" s="29">
        <f>O112*AD112+U112*AG112</f>
        <v>0</v>
      </c>
      <c r="AK112" s="29"/>
      <c r="AL112" s="29"/>
      <c r="AM112" s="29">
        <f>$O112*$P$93/3</f>
        <v>0</v>
      </c>
      <c r="AN112" s="29"/>
      <c r="AO112" s="29"/>
      <c r="AP112" s="29">
        <f>$O112*$P$94/2</f>
        <v>0</v>
      </c>
      <c r="AQ112" s="29"/>
      <c r="AR112" s="29"/>
      <c r="AS112" s="29">
        <f>R112*($P$94/4*6+$P$94/2*2/3)/7</f>
        <v>0</v>
      </c>
      <c r="AT112" s="29"/>
      <c r="AU112" s="29"/>
      <c r="AV112" s="29">
        <f>$O112*$P$93*2/3</f>
        <v>0</v>
      </c>
      <c r="AW112" s="29"/>
      <c r="AX112" s="29"/>
      <c r="AY112" s="29">
        <f>U112*AG112</f>
        <v>0</v>
      </c>
      <c r="AZ112" s="29"/>
      <c r="BA112" s="29"/>
      <c r="BB112" s="29">
        <f>AA112*P93*3/4</f>
        <v>0</v>
      </c>
      <c r="BC112" s="29"/>
      <c r="BD112" s="29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7"/>
      <c r="CJ112" s="27"/>
      <c r="CK112" s="27"/>
      <c r="CL112" s="27"/>
      <c r="CM112" s="27"/>
    </row>
    <row r="113" spans="1:91" ht="15.75" hidden="1">
      <c r="A113" s="29" t="s">
        <v>0</v>
      </c>
      <c r="B113" s="29"/>
      <c r="C113" s="29">
        <f>P100*P93</f>
        <v>0</v>
      </c>
      <c r="D113" s="29"/>
      <c r="E113" s="29"/>
      <c r="F113" s="29">
        <v>0</v>
      </c>
      <c r="G113" s="29"/>
      <c r="H113" s="29"/>
      <c r="I113" s="29">
        <v>0</v>
      </c>
      <c r="J113" s="29"/>
      <c r="K113" s="29"/>
      <c r="L113" s="29">
        <v>1</v>
      </c>
      <c r="M113" s="29"/>
      <c r="N113" s="29"/>
      <c r="O113" s="29">
        <f>C113*P93/2</f>
        <v>0</v>
      </c>
      <c r="P113" s="29"/>
      <c r="Q113" s="29"/>
      <c r="R113" s="29">
        <f>$C$113*$P$94/2/4*3</f>
        <v>0</v>
      </c>
      <c r="S113" s="29"/>
      <c r="T113" s="29"/>
      <c r="U113" s="29">
        <f>$C$113*$P$94/2</f>
        <v>0</v>
      </c>
      <c r="V113" s="29"/>
      <c r="W113" s="29"/>
      <c r="X113" s="29">
        <f>$C$113*$P$94/2/4</f>
        <v>0</v>
      </c>
      <c r="Y113" s="29"/>
      <c r="Z113" s="29"/>
      <c r="AA113" s="29">
        <v>0</v>
      </c>
      <c r="AB113" s="29"/>
      <c r="AC113" s="29"/>
      <c r="AD113" s="29">
        <f>$P$94</f>
        <v>4</v>
      </c>
      <c r="AE113" s="29"/>
      <c r="AF113" s="29"/>
      <c r="AG113" s="29">
        <f>$P$94*2/3</f>
        <v>2.6666666666666665</v>
      </c>
      <c r="AH113" s="29"/>
      <c r="AI113" s="29"/>
      <c r="AJ113" s="29">
        <f>O113*AD113+U113*AG113</f>
        <v>0</v>
      </c>
      <c r="AK113" s="29"/>
      <c r="AL113" s="29"/>
      <c r="AM113" s="29">
        <f>$O113*$P$93/3</f>
        <v>0</v>
      </c>
      <c r="AN113" s="29"/>
      <c r="AO113" s="29"/>
      <c r="AP113" s="29">
        <f>$O113*$P$94/2</f>
        <v>0</v>
      </c>
      <c r="AQ113" s="29"/>
      <c r="AR113" s="29"/>
      <c r="AS113" s="29">
        <f>R113*($P$94/4*2+$P$94/2*2/3)/3</f>
        <v>0</v>
      </c>
      <c r="AT113" s="29"/>
      <c r="AU113" s="29"/>
      <c r="AV113" s="29">
        <f>$O113*$P$93*2/3</f>
        <v>0</v>
      </c>
      <c r="AW113" s="29"/>
      <c r="AX113" s="29"/>
      <c r="AY113" s="29">
        <f>U113*AG113</f>
        <v>0</v>
      </c>
      <c r="AZ113" s="29"/>
      <c r="BA113" s="29"/>
      <c r="BB113" s="29">
        <v>0</v>
      </c>
      <c r="BC113" s="29"/>
      <c r="BD113" s="29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7"/>
      <c r="CJ113" s="27"/>
      <c r="CK113" s="27"/>
      <c r="CL113" s="27"/>
      <c r="CM113" s="27"/>
    </row>
    <row r="114" spans="1:91" ht="15.75" hidden="1">
      <c r="A114" s="29" t="s">
        <v>70</v>
      </c>
      <c r="B114" s="29"/>
      <c r="C114" s="29">
        <v>0</v>
      </c>
      <c r="D114" s="29"/>
      <c r="E114" s="29"/>
      <c r="F114" s="29">
        <f>P101*P94/4</f>
        <v>10</v>
      </c>
      <c r="G114" s="29"/>
      <c r="H114" s="29"/>
      <c r="I114" s="29">
        <v>0</v>
      </c>
      <c r="J114" s="29"/>
      <c r="K114" s="29"/>
      <c r="L114" s="29">
        <v>1</v>
      </c>
      <c r="M114" s="29"/>
      <c r="N114" s="29"/>
      <c r="O114" s="29">
        <v>0</v>
      </c>
      <c r="P114" s="29"/>
      <c r="Q114" s="29"/>
      <c r="R114" s="29">
        <f>$F$114*$P$94/4</f>
        <v>10</v>
      </c>
      <c r="S114" s="29"/>
      <c r="T114" s="29"/>
      <c r="U114" s="29">
        <f>F114*P94/2</f>
        <v>20</v>
      </c>
      <c r="V114" s="29"/>
      <c r="W114" s="29"/>
      <c r="X114" s="29">
        <f>$F$114*$P$94/4</f>
        <v>10</v>
      </c>
      <c r="Y114" s="29"/>
      <c r="Z114" s="29"/>
      <c r="AA114" s="29">
        <v>0</v>
      </c>
      <c r="AB114" s="29"/>
      <c r="AC114" s="29"/>
      <c r="AD114" s="29">
        <f>$P$94</f>
        <v>4</v>
      </c>
      <c r="AE114" s="29"/>
      <c r="AF114" s="29"/>
      <c r="AG114" s="29">
        <f>P94/2</f>
        <v>2</v>
      </c>
      <c r="AH114" s="29"/>
      <c r="AI114" s="29"/>
      <c r="AJ114" s="29">
        <f>O114*AD114+U114*AG114</f>
        <v>40</v>
      </c>
      <c r="AK114" s="29"/>
      <c r="AL114" s="29"/>
      <c r="AM114" s="29">
        <v>0</v>
      </c>
      <c r="AN114" s="29"/>
      <c r="AO114" s="29"/>
      <c r="AP114" s="29">
        <f>$O114*$P$94/2</f>
        <v>0</v>
      </c>
      <c r="AQ114" s="29"/>
      <c r="AR114" s="29"/>
      <c r="AS114" s="29">
        <f>R114*P94/2/3</f>
        <v>6.666666666666667</v>
      </c>
      <c r="AT114" s="29"/>
      <c r="AU114" s="29"/>
      <c r="AV114" s="29">
        <v>0</v>
      </c>
      <c r="AW114" s="29"/>
      <c r="AX114" s="29"/>
      <c r="AY114" s="29">
        <f>U114*AG114</f>
        <v>40</v>
      </c>
      <c r="AZ114" s="29"/>
      <c r="BA114" s="29"/>
      <c r="BB114" s="29">
        <v>0</v>
      </c>
      <c r="BC114" s="29"/>
      <c r="BD114" s="29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7"/>
      <c r="CJ114" s="27"/>
      <c r="CK114" s="27"/>
      <c r="CL114" s="27"/>
      <c r="CM114" s="27"/>
    </row>
    <row r="115" spans="1:91" ht="12.75" hidden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>
        <f>SUM(O110:Q114)</f>
        <v>0</v>
      </c>
      <c r="P115" s="29"/>
      <c r="Q115" s="29"/>
      <c r="R115" s="29">
        <f>SUM(R110:T114)</f>
        <v>10</v>
      </c>
      <c r="S115" s="29"/>
      <c r="T115" s="29"/>
      <c r="U115" s="29">
        <f>SUM(U110:W114)</f>
        <v>20</v>
      </c>
      <c r="V115" s="29"/>
      <c r="W115" s="29"/>
      <c r="X115" s="29">
        <f>SUM(X110:Z114)</f>
        <v>10</v>
      </c>
      <c r="Y115" s="29"/>
      <c r="Z115" s="29"/>
      <c r="AA115" s="29">
        <f>SUM(AA110:AC114)</f>
        <v>0</v>
      </c>
      <c r="AB115" s="29"/>
      <c r="AC115" s="29"/>
      <c r="AD115" s="29"/>
      <c r="AE115" s="29"/>
      <c r="AF115" s="29"/>
      <c r="AG115" s="29"/>
      <c r="AH115" s="29"/>
      <c r="AI115" s="29"/>
      <c r="AJ115" s="29">
        <f>SUM(AJ110:AL114)</f>
        <v>40</v>
      </c>
      <c r="AK115" s="29"/>
      <c r="AL115" s="29"/>
      <c r="AM115" s="29">
        <f>SUM(AM110:AO114)</f>
        <v>0</v>
      </c>
      <c r="AN115" s="29"/>
      <c r="AO115" s="29"/>
      <c r="AP115" s="29">
        <f>SUM(AP110:AR114)</f>
        <v>0</v>
      </c>
      <c r="AQ115" s="29"/>
      <c r="AR115" s="29"/>
      <c r="AS115" s="29">
        <f>SUM(AS110:AU114)</f>
        <v>6.666666666666667</v>
      </c>
      <c r="AT115" s="29"/>
      <c r="AU115" s="29"/>
      <c r="AV115" s="29">
        <f>SUM(AV110:AX114)</f>
        <v>0</v>
      </c>
      <c r="AW115" s="29"/>
      <c r="AX115" s="29"/>
      <c r="AY115" s="29">
        <f>SUM(AY110:BA114)</f>
        <v>40</v>
      </c>
      <c r="AZ115" s="29"/>
      <c r="BA115" s="29"/>
      <c r="BB115" s="29">
        <f>SUM(BB110:BD114)</f>
        <v>0</v>
      </c>
      <c r="BC115" s="29"/>
      <c r="BD115" s="29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7"/>
      <c r="BU115" s="7"/>
      <c r="BV115" s="7"/>
      <c r="BW115" s="28"/>
      <c r="BX115" s="28"/>
      <c r="BY115" s="28"/>
      <c r="BZ115" s="7"/>
      <c r="CA115" s="7"/>
      <c r="CB115" s="7"/>
      <c r="CC115" s="28"/>
      <c r="CD115" s="28"/>
      <c r="CE115" s="28"/>
      <c r="CF115" s="28"/>
      <c r="CG115" s="28"/>
      <c r="CH115" s="28"/>
      <c r="CI115" s="27"/>
      <c r="CJ115" s="27"/>
      <c r="CK115" s="27"/>
      <c r="CL115" s="27"/>
      <c r="CM115" s="27"/>
    </row>
    <row r="116" spans="3:91" ht="14.25" hidden="1"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62" t="s">
        <v>115</v>
      </c>
      <c r="AH116" s="63"/>
      <c r="AI116" s="63"/>
      <c r="AJ116" s="63">
        <f>AJ115/P94</f>
        <v>10</v>
      </c>
      <c r="AK116" s="63"/>
      <c r="AL116" s="63"/>
      <c r="AM116" s="29">
        <f>AM115+AJ116*P93</f>
        <v>30</v>
      </c>
      <c r="AN116" s="29"/>
      <c r="AO116" s="29"/>
      <c r="AP116" s="31" t="s">
        <v>116</v>
      </c>
      <c r="AQ116" s="31"/>
      <c r="AR116" s="31"/>
      <c r="AS116" s="31">
        <f>AP115+AS115+AJ116*P94/2</f>
        <v>26.666666666666668</v>
      </c>
      <c r="AT116" s="31"/>
      <c r="AU116" s="31"/>
      <c r="AV116" s="29"/>
      <c r="AW116" s="29"/>
      <c r="AX116" s="29"/>
      <c r="AY116" s="31" t="s">
        <v>117</v>
      </c>
      <c r="AZ116" s="31"/>
      <c r="BA116" s="31"/>
      <c r="BB116" s="31">
        <f>AV115+AY115+BB115</f>
        <v>40</v>
      </c>
      <c r="BC116" s="31"/>
      <c r="BD116" s="31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7"/>
      <c r="CJ116" s="27"/>
      <c r="CK116" s="27"/>
      <c r="CL116" s="27"/>
      <c r="CM116" s="27"/>
    </row>
    <row r="117" spans="45:91" ht="12.75" hidden="1">
      <c r="AS117" s="64"/>
      <c r="AT117" s="64"/>
      <c r="AU117" s="64"/>
      <c r="AV117" s="4"/>
      <c r="AW117" s="2"/>
      <c r="AX117" s="2"/>
      <c r="AY117" s="6"/>
      <c r="AZ117" s="6"/>
      <c r="BA117" s="6"/>
      <c r="BB117" s="6"/>
      <c r="BC117" s="6"/>
      <c r="BD117" s="6"/>
      <c r="BE117" s="7"/>
      <c r="BF117" s="7"/>
      <c r="BG117" s="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</row>
    <row r="118" spans="45:91" ht="12.75" hidden="1">
      <c r="AS118" s="64"/>
      <c r="AT118" s="64"/>
      <c r="AU118" s="64"/>
      <c r="AV118" s="4"/>
      <c r="AW118" s="2"/>
      <c r="AX118" s="2"/>
      <c r="AY118" s="6"/>
      <c r="AZ118" s="6"/>
      <c r="BA118" s="6"/>
      <c r="BB118" s="2"/>
      <c r="BC118" s="2"/>
      <c r="BD118" s="2"/>
      <c r="BE118" s="28"/>
      <c r="BF118" s="28"/>
      <c r="BG118" s="28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</row>
    <row r="119" spans="45:91" ht="12.75">
      <c r="AS119" s="4"/>
      <c r="AT119" s="2"/>
      <c r="AU119" s="2"/>
      <c r="AV119" s="6"/>
      <c r="AW119" s="6"/>
      <c r="AX119" s="6"/>
      <c r="AY119" s="64"/>
      <c r="AZ119" s="64"/>
      <c r="BA119" s="64"/>
      <c r="BB119" s="64"/>
      <c r="BC119" s="64"/>
      <c r="BD119" s="64"/>
      <c r="BE119" s="65"/>
      <c r="BF119" s="65"/>
      <c r="BG119" s="65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</row>
    <row r="120" spans="57:91" ht="12.75"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</row>
  </sheetData>
  <sheetProtection password="F24A" sheet="1" objects="1" scenarios="1"/>
  <mergeCells count="971">
    <mergeCell ref="AE102:AH102"/>
    <mergeCell ref="AE93:AH93"/>
    <mergeCell ref="AE94:AH94"/>
    <mergeCell ref="V90:AI91"/>
    <mergeCell ref="AC92:AH92"/>
    <mergeCell ref="X92:AA92"/>
    <mergeCell ref="X94:Z94"/>
    <mergeCell ref="X96:Z96"/>
    <mergeCell ref="X97:Z97"/>
    <mergeCell ref="X98:Z98"/>
    <mergeCell ref="V101:W101"/>
    <mergeCell ref="V102:W102"/>
    <mergeCell ref="AC96:AD96"/>
    <mergeCell ref="AC97:AD97"/>
    <mergeCell ref="AC98:AD98"/>
    <mergeCell ref="AC100:AD100"/>
    <mergeCell ref="AC101:AD101"/>
    <mergeCell ref="AC102:AD102"/>
    <mergeCell ref="AA101:AB101"/>
    <mergeCell ref="AA102:AB102"/>
    <mergeCell ref="V96:W96"/>
    <mergeCell ref="V97:W97"/>
    <mergeCell ref="V98:W98"/>
    <mergeCell ref="V100:W100"/>
    <mergeCell ref="X102:Z102"/>
    <mergeCell ref="AE100:AH100"/>
    <mergeCell ref="AE101:AH101"/>
    <mergeCell ref="X100:Z100"/>
    <mergeCell ref="X101:Z101"/>
    <mergeCell ref="AA100:AB100"/>
    <mergeCell ref="AE98:AG98"/>
    <mergeCell ref="AA98:AB98"/>
    <mergeCell ref="AE96:AG96"/>
    <mergeCell ref="AH96:AI96"/>
    <mergeCell ref="AE97:AG97"/>
    <mergeCell ref="AH97:AI97"/>
    <mergeCell ref="AH98:AI98"/>
    <mergeCell ref="AA96:AB96"/>
    <mergeCell ref="AA97:AB97"/>
    <mergeCell ref="AC94:AD94"/>
    <mergeCell ref="AC93:AD93"/>
    <mergeCell ref="AA94:AB94"/>
    <mergeCell ref="AA93:AB93"/>
    <mergeCell ref="AY116:BA116"/>
    <mergeCell ref="BB108:BD108"/>
    <mergeCell ref="AV111:AX111"/>
    <mergeCell ref="AV112:AX112"/>
    <mergeCell ref="AV113:AX113"/>
    <mergeCell ref="AV114:AX114"/>
    <mergeCell ref="AV115:AX115"/>
    <mergeCell ref="AY115:BA115"/>
    <mergeCell ref="BB115:BD115"/>
    <mergeCell ref="AY111:BA111"/>
    <mergeCell ref="AY112:BA112"/>
    <mergeCell ref="AY113:BA113"/>
    <mergeCell ref="AY114:BA114"/>
    <mergeCell ref="AY108:BA108"/>
    <mergeCell ref="AY109:BA109"/>
    <mergeCell ref="AY110:BA110"/>
    <mergeCell ref="AS113:AU113"/>
    <mergeCell ref="AS114:AU114"/>
    <mergeCell ref="AS115:AU115"/>
    <mergeCell ref="AS116:AU116"/>
    <mergeCell ref="AS109:AU109"/>
    <mergeCell ref="AS110:AU110"/>
    <mergeCell ref="AS111:AU111"/>
    <mergeCell ref="AS112:AU112"/>
    <mergeCell ref="BB113:BD113"/>
    <mergeCell ref="BB114:BD114"/>
    <mergeCell ref="BB116:BD116"/>
    <mergeCell ref="BB109:BD109"/>
    <mergeCell ref="BB110:BD110"/>
    <mergeCell ref="BB111:BD111"/>
    <mergeCell ref="BB112:BD112"/>
    <mergeCell ref="AP115:AR115"/>
    <mergeCell ref="AP116:AR116"/>
    <mergeCell ref="AV109:AX109"/>
    <mergeCell ref="AV110:AX110"/>
    <mergeCell ref="AV116:AX116"/>
    <mergeCell ref="AP109:AR109"/>
    <mergeCell ref="AP110:AR110"/>
    <mergeCell ref="AP111:AR111"/>
    <mergeCell ref="AP112:AR112"/>
    <mergeCell ref="AM115:AO115"/>
    <mergeCell ref="AM116:AO116"/>
    <mergeCell ref="AD111:AF111"/>
    <mergeCell ref="AD112:AF112"/>
    <mergeCell ref="AD113:AF113"/>
    <mergeCell ref="AD114:AF114"/>
    <mergeCell ref="AG111:AI111"/>
    <mergeCell ref="AG112:AI112"/>
    <mergeCell ref="AG113:AI113"/>
    <mergeCell ref="AG114:AI114"/>
    <mergeCell ref="AM109:AO109"/>
    <mergeCell ref="AM110:AO110"/>
    <mergeCell ref="AM111:AO111"/>
    <mergeCell ref="AM112:AO112"/>
    <mergeCell ref="AG115:AI115"/>
    <mergeCell ref="AG116:AI116"/>
    <mergeCell ref="AJ109:AL109"/>
    <mergeCell ref="AJ110:AL110"/>
    <mergeCell ref="AJ111:AL111"/>
    <mergeCell ref="AJ112:AL112"/>
    <mergeCell ref="AJ113:AL113"/>
    <mergeCell ref="AJ114:AL114"/>
    <mergeCell ref="AJ115:AL115"/>
    <mergeCell ref="AJ116:AL116"/>
    <mergeCell ref="AG109:AI109"/>
    <mergeCell ref="AG110:AI110"/>
    <mergeCell ref="I76:K76"/>
    <mergeCell ref="L68:N68"/>
    <mergeCell ref="L69:N69"/>
    <mergeCell ref="L70:N70"/>
    <mergeCell ref="L71:N71"/>
    <mergeCell ref="L72:N72"/>
    <mergeCell ref="L73:N73"/>
    <mergeCell ref="L74:N74"/>
    <mergeCell ref="I71:K71"/>
    <mergeCell ref="I67:K67"/>
    <mergeCell ref="I68:K68"/>
    <mergeCell ref="I69:K69"/>
    <mergeCell ref="I70:K70"/>
    <mergeCell ref="L65:N65"/>
    <mergeCell ref="P100:R100"/>
    <mergeCell ref="S100:T100"/>
    <mergeCell ref="I65:K65"/>
    <mergeCell ref="I66:K66"/>
    <mergeCell ref="O65:Q65"/>
    <mergeCell ref="R65:T65"/>
    <mergeCell ref="U65:W65"/>
    <mergeCell ref="I72:K72"/>
    <mergeCell ref="I73:K73"/>
    <mergeCell ref="A71:B71"/>
    <mergeCell ref="A72:B72"/>
    <mergeCell ref="A73:B73"/>
    <mergeCell ref="A65:B65"/>
    <mergeCell ref="AD73:AF73"/>
    <mergeCell ref="AG73:AI73"/>
    <mergeCell ref="AD71:AF71"/>
    <mergeCell ref="AG71:AI71"/>
    <mergeCell ref="A66:B66"/>
    <mergeCell ref="A67:B67"/>
    <mergeCell ref="X75:Z75"/>
    <mergeCell ref="AA75:AC75"/>
    <mergeCell ref="U75:W75"/>
    <mergeCell ref="A74:B74"/>
    <mergeCell ref="A75:B75"/>
    <mergeCell ref="A68:B68"/>
    <mergeCell ref="A69:B69"/>
    <mergeCell ref="A70:B70"/>
    <mergeCell ref="AD75:AF75"/>
    <mergeCell ref="L76:N76"/>
    <mergeCell ref="O76:Q76"/>
    <mergeCell ref="R76:T76"/>
    <mergeCell ref="U76:W76"/>
    <mergeCell ref="X76:Z76"/>
    <mergeCell ref="AA76:AC76"/>
    <mergeCell ref="AD76:AF76"/>
    <mergeCell ref="L75:N75"/>
    <mergeCell ref="AJ73:AL73"/>
    <mergeCell ref="O74:Q74"/>
    <mergeCell ref="R74:T74"/>
    <mergeCell ref="U74:W74"/>
    <mergeCell ref="AD74:AF74"/>
    <mergeCell ref="AG74:AI74"/>
    <mergeCell ref="AJ74:AL74"/>
    <mergeCell ref="O73:Q73"/>
    <mergeCell ref="R73:T73"/>
    <mergeCell ref="U73:W73"/>
    <mergeCell ref="AJ71:AL71"/>
    <mergeCell ref="O72:Q72"/>
    <mergeCell ref="R72:T72"/>
    <mergeCell ref="U72:W72"/>
    <mergeCell ref="AD72:AF72"/>
    <mergeCell ref="AG72:AI72"/>
    <mergeCell ref="AJ72:AL72"/>
    <mergeCell ref="O71:Q71"/>
    <mergeCell ref="R71:T71"/>
    <mergeCell ref="U71:W71"/>
    <mergeCell ref="AG69:AI69"/>
    <mergeCell ref="AJ69:AL69"/>
    <mergeCell ref="O70:Q70"/>
    <mergeCell ref="R70:T70"/>
    <mergeCell ref="AG70:AI70"/>
    <mergeCell ref="AJ70:AL70"/>
    <mergeCell ref="X70:Z70"/>
    <mergeCell ref="AA70:AC70"/>
    <mergeCell ref="F76:H76"/>
    <mergeCell ref="L66:N66"/>
    <mergeCell ref="O66:Q66"/>
    <mergeCell ref="R66:T66"/>
    <mergeCell ref="L67:N67"/>
    <mergeCell ref="O67:Q67"/>
    <mergeCell ref="R67:T67"/>
    <mergeCell ref="O68:Q68"/>
    <mergeCell ref="R68:T68"/>
    <mergeCell ref="R75:T75"/>
    <mergeCell ref="C76:E76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W4:Y4"/>
    <mergeCell ref="W6:AI6"/>
    <mergeCell ref="U3:V3"/>
    <mergeCell ref="U4:V4"/>
    <mergeCell ref="U5:V5"/>
    <mergeCell ref="Z3:AA3"/>
    <mergeCell ref="Z4:AA4"/>
    <mergeCell ref="Z5:AA5"/>
    <mergeCell ref="AH3:AI3"/>
    <mergeCell ref="AH4:AI4"/>
    <mergeCell ref="M50:P50"/>
    <mergeCell ref="Q46:T46"/>
    <mergeCell ref="Q47:T47"/>
    <mergeCell ref="Q49:T49"/>
    <mergeCell ref="Q50:T50"/>
    <mergeCell ref="AE9:AG9"/>
    <mergeCell ref="AH9:AI9"/>
    <mergeCell ref="Y47:Z47"/>
    <mergeCell ref="E47:H47"/>
    <mergeCell ref="I44:L44"/>
    <mergeCell ref="I45:L45"/>
    <mergeCell ref="I46:L46"/>
    <mergeCell ref="I47:L47"/>
    <mergeCell ref="M46:P46"/>
    <mergeCell ref="M47:P47"/>
    <mergeCell ref="AH7:AI7"/>
    <mergeCell ref="AH8:AI8"/>
    <mergeCell ref="Z7:AA7"/>
    <mergeCell ref="Z8:AA8"/>
    <mergeCell ref="X69:Z69"/>
    <mergeCell ref="AA69:AC69"/>
    <mergeCell ref="Y48:Z48"/>
    <mergeCell ref="Y49:Z49"/>
    <mergeCell ref="U49:X49"/>
    <mergeCell ref="U50:X50"/>
    <mergeCell ref="B34:D34"/>
    <mergeCell ref="K34:M34"/>
    <mergeCell ref="Q34:S34"/>
    <mergeCell ref="W34:Y34"/>
    <mergeCell ref="T34:V34"/>
    <mergeCell ref="N34:P34"/>
    <mergeCell ref="H34:J34"/>
    <mergeCell ref="E34:G34"/>
    <mergeCell ref="Q45:T45"/>
    <mergeCell ref="U45:X45"/>
    <mergeCell ref="C48:D48"/>
    <mergeCell ref="C50:D50"/>
    <mergeCell ref="C49:D49"/>
    <mergeCell ref="E49:H49"/>
    <mergeCell ref="E50:H50"/>
    <mergeCell ref="I49:L49"/>
    <mergeCell ref="I50:L50"/>
    <mergeCell ref="M49:P49"/>
    <mergeCell ref="E44:H44"/>
    <mergeCell ref="E45:H45"/>
    <mergeCell ref="E46:H46"/>
    <mergeCell ref="M45:P45"/>
    <mergeCell ref="H36:J36"/>
    <mergeCell ref="E36:G36"/>
    <mergeCell ref="Z35:AB35"/>
    <mergeCell ref="T35:V35"/>
    <mergeCell ref="N35:P35"/>
    <mergeCell ref="Z36:AB36"/>
    <mergeCell ref="W36:Y36"/>
    <mergeCell ref="T36:V36"/>
    <mergeCell ref="Q36:S36"/>
    <mergeCell ref="N36:P36"/>
    <mergeCell ref="C46:D46"/>
    <mergeCell ref="C44:D44"/>
    <mergeCell ref="C45:D45"/>
    <mergeCell ref="C47:D47"/>
    <mergeCell ref="AH55:AI55"/>
    <mergeCell ref="U56:V56"/>
    <mergeCell ref="W56:Y56"/>
    <mergeCell ref="Z56:AA56"/>
    <mergeCell ref="AE56:AG56"/>
    <mergeCell ref="AH56:AI56"/>
    <mergeCell ref="U55:V55"/>
    <mergeCell ref="W55:Y55"/>
    <mergeCell ref="Z55:AA55"/>
    <mergeCell ref="AE55:AG55"/>
    <mergeCell ref="AH5:AI5"/>
    <mergeCell ref="B36:D36"/>
    <mergeCell ref="AF35:AH35"/>
    <mergeCell ref="H35:J35"/>
    <mergeCell ref="AF34:AH34"/>
    <mergeCell ref="AC34:AE34"/>
    <mergeCell ref="Z34:AB34"/>
    <mergeCell ref="AI33:AK33"/>
    <mergeCell ref="V17:X17"/>
    <mergeCell ref="V18:X18"/>
    <mergeCell ref="BA35:BC35"/>
    <mergeCell ref="AR35:AT35"/>
    <mergeCell ref="AL35:AN35"/>
    <mergeCell ref="M44:P44"/>
    <mergeCell ref="Q44:T44"/>
    <mergeCell ref="U44:X44"/>
    <mergeCell ref="K36:M36"/>
    <mergeCell ref="AG36:AI36"/>
    <mergeCell ref="AC36:AE36"/>
    <mergeCell ref="C42:X42"/>
    <mergeCell ref="V15:X15"/>
    <mergeCell ref="V16:X16"/>
    <mergeCell ref="Y13:AA13"/>
    <mergeCell ref="U57:V57"/>
    <mergeCell ref="W57:Y57"/>
    <mergeCell ref="Z57:AA57"/>
    <mergeCell ref="Y46:Z46"/>
    <mergeCell ref="U46:X46"/>
    <mergeCell ref="U47:X47"/>
    <mergeCell ref="AB13:AD13"/>
    <mergeCell ref="AB14:AD14"/>
    <mergeCell ref="V13:X13"/>
    <mergeCell ref="V14:X14"/>
    <mergeCell ref="AB20:AD20"/>
    <mergeCell ref="V20:X20"/>
    <mergeCell ref="B19:D19"/>
    <mergeCell ref="E19:G19"/>
    <mergeCell ref="AB19:AD19"/>
    <mergeCell ref="V19:X19"/>
    <mergeCell ref="C22:E22"/>
    <mergeCell ref="F22:H22"/>
    <mergeCell ref="K22:M22"/>
    <mergeCell ref="N22:P22"/>
    <mergeCell ref="Y14:AA14"/>
    <mergeCell ref="Y15:AA15"/>
    <mergeCell ref="AH18:AJ18"/>
    <mergeCell ref="AB17:AD17"/>
    <mergeCell ref="AB18:AD18"/>
    <mergeCell ref="AH17:AJ17"/>
    <mergeCell ref="Y18:AA18"/>
    <mergeCell ref="AE18:AG18"/>
    <mergeCell ref="Y17:AA17"/>
    <mergeCell ref="AB15:AD15"/>
    <mergeCell ref="AB16:AD16"/>
    <mergeCell ref="AE17:AG17"/>
    <mergeCell ref="W3:Y3"/>
    <mergeCell ref="V12:X12"/>
    <mergeCell ref="AE12:AG12"/>
    <mergeCell ref="W5:Y5"/>
    <mergeCell ref="W7:Y7"/>
    <mergeCell ref="W8:Y8"/>
    <mergeCell ref="AE7:AG7"/>
    <mergeCell ref="AE8:AG8"/>
    <mergeCell ref="AE3:AG3"/>
    <mergeCell ref="AE4:AG4"/>
    <mergeCell ref="AH12:AJ12"/>
    <mergeCell ref="AB11:AD11"/>
    <mergeCell ref="AB12:AD12"/>
    <mergeCell ref="W9:Y9"/>
    <mergeCell ref="V11:X11"/>
    <mergeCell ref="Y11:AA11"/>
    <mergeCell ref="AE11:AG11"/>
    <mergeCell ref="AH11:AJ11"/>
    <mergeCell ref="Y12:AA12"/>
    <mergeCell ref="Z9:AA9"/>
    <mergeCell ref="AH14:AJ14"/>
    <mergeCell ref="AH15:AJ15"/>
    <mergeCell ref="AH16:AJ16"/>
    <mergeCell ref="AE13:AG13"/>
    <mergeCell ref="AE14:AG14"/>
    <mergeCell ref="AE15:AG15"/>
    <mergeCell ref="AH13:AJ13"/>
    <mergeCell ref="AE5:AG5"/>
    <mergeCell ref="AH19:AJ19"/>
    <mergeCell ref="L23:P23"/>
    <mergeCell ref="Y20:AA20"/>
    <mergeCell ref="AE20:AG20"/>
    <mergeCell ref="AH20:AJ20"/>
    <mergeCell ref="AE19:AG19"/>
    <mergeCell ref="Y16:AA16"/>
    <mergeCell ref="AE16:AG16"/>
    <mergeCell ref="Y19:AA19"/>
    <mergeCell ref="P18:R18"/>
    <mergeCell ref="I19:K19"/>
    <mergeCell ref="M19:O19"/>
    <mergeCell ref="P19:R19"/>
    <mergeCell ref="AH57:AI57"/>
    <mergeCell ref="W58:AI58"/>
    <mergeCell ref="W59:Y59"/>
    <mergeCell ref="Z59:AA59"/>
    <mergeCell ref="AE59:AG59"/>
    <mergeCell ref="AH59:AI59"/>
    <mergeCell ref="AE57:AG57"/>
    <mergeCell ref="B18:D18"/>
    <mergeCell ref="E18:G18"/>
    <mergeCell ref="I18:K18"/>
    <mergeCell ref="M18:O18"/>
    <mergeCell ref="P16:R16"/>
    <mergeCell ref="B17:D17"/>
    <mergeCell ref="E17:G17"/>
    <mergeCell ref="I17:K17"/>
    <mergeCell ref="M17:O17"/>
    <mergeCell ref="P17:R17"/>
    <mergeCell ref="B16:D16"/>
    <mergeCell ref="E16:G16"/>
    <mergeCell ref="I16:K16"/>
    <mergeCell ref="M16:O16"/>
    <mergeCell ref="P14:R14"/>
    <mergeCell ref="B15:D15"/>
    <mergeCell ref="E15:G15"/>
    <mergeCell ref="I15:K15"/>
    <mergeCell ref="M15:O15"/>
    <mergeCell ref="P15:R15"/>
    <mergeCell ref="B14:D14"/>
    <mergeCell ref="E14:G14"/>
    <mergeCell ref="I14:K14"/>
    <mergeCell ref="M14:O14"/>
    <mergeCell ref="P12:R12"/>
    <mergeCell ref="B13:D13"/>
    <mergeCell ref="E13:G13"/>
    <mergeCell ref="I13:K13"/>
    <mergeCell ref="M13:O13"/>
    <mergeCell ref="P13:R13"/>
    <mergeCell ref="B12:D12"/>
    <mergeCell ref="E12:G12"/>
    <mergeCell ref="I12:K12"/>
    <mergeCell ref="M12:O12"/>
    <mergeCell ref="BS25:BU25"/>
    <mergeCell ref="BV25:BX25"/>
    <mergeCell ref="BY25:CA25"/>
    <mergeCell ref="CB25:CD25"/>
    <mergeCell ref="CE25:CG25"/>
    <mergeCell ref="B26:D26"/>
    <mergeCell ref="E26:G26"/>
    <mergeCell ref="BJ26:BL26"/>
    <mergeCell ref="BM26:BO26"/>
    <mergeCell ref="BP26:BR26"/>
    <mergeCell ref="BS26:BU26"/>
    <mergeCell ref="BV26:BX26"/>
    <mergeCell ref="BY26:CA26"/>
    <mergeCell ref="CB26:CD26"/>
    <mergeCell ref="CE26:CG26"/>
    <mergeCell ref="BJ27:BL27"/>
    <mergeCell ref="BM27:BO27"/>
    <mergeCell ref="BP27:BR27"/>
    <mergeCell ref="BS27:BU27"/>
    <mergeCell ref="BV27:BX27"/>
    <mergeCell ref="BY27:CA27"/>
    <mergeCell ref="CB27:CD27"/>
    <mergeCell ref="CE27:CG27"/>
    <mergeCell ref="BJ28:BL28"/>
    <mergeCell ref="BM28:BO28"/>
    <mergeCell ref="BP28:BR28"/>
    <mergeCell ref="BS28:BU28"/>
    <mergeCell ref="BV28:BX28"/>
    <mergeCell ref="BY28:CA28"/>
    <mergeCell ref="CB28:CD28"/>
    <mergeCell ref="CE28:CG28"/>
    <mergeCell ref="BV29:BX29"/>
    <mergeCell ref="BY29:CA29"/>
    <mergeCell ref="CB29:CD29"/>
    <mergeCell ref="B29:D29"/>
    <mergeCell ref="BJ29:BL29"/>
    <mergeCell ref="BM29:BO29"/>
    <mergeCell ref="BP29:BR29"/>
    <mergeCell ref="BA29:BC29"/>
    <mergeCell ref="AU29:AW29"/>
    <mergeCell ref="CE29:CG29"/>
    <mergeCell ref="B30:D30"/>
    <mergeCell ref="BJ30:BL30"/>
    <mergeCell ref="BM30:BO30"/>
    <mergeCell ref="BP30:BR30"/>
    <mergeCell ref="BS30:BU30"/>
    <mergeCell ref="BV30:BX30"/>
    <mergeCell ref="BY30:CA30"/>
    <mergeCell ref="CB30:CD30"/>
    <mergeCell ref="BS29:BU29"/>
    <mergeCell ref="CE30:CG30"/>
    <mergeCell ref="B31:D31"/>
    <mergeCell ref="BJ31:BL31"/>
    <mergeCell ref="BM31:BO31"/>
    <mergeCell ref="BP31:BR31"/>
    <mergeCell ref="BS31:BU31"/>
    <mergeCell ref="BV31:BX31"/>
    <mergeCell ref="BY31:CA31"/>
    <mergeCell ref="CB31:CD31"/>
    <mergeCell ref="CE31:CG31"/>
    <mergeCell ref="B32:D32"/>
    <mergeCell ref="BJ32:BL32"/>
    <mergeCell ref="BM32:BO32"/>
    <mergeCell ref="BP32:BR32"/>
    <mergeCell ref="BS32:BU32"/>
    <mergeCell ref="BV32:BX32"/>
    <mergeCell ref="BY32:CA32"/>
    <mergeCell ref="CB32:CD32"/>
    <mergeCell ref="B27:D27"/>
    <mergeCell ref="E32:G32"/>
    <mergeCell ref="E33:G33"/>
    <mergeCell ref="B33:D33"/>
    <mergeCell ref="E31:G31"/>
    <mergeCell ref="E30:G30"/>
    <mergeCell ref="E29:G29"/>
    <mergeCell ref="E28:G28"/>
    <mergeCell ref="E27:G27"/>
    <mergeCell ref="B28:D28"/>
    <mergeCell ref="CE33:CG33"/>
    <mergeCell ref="CE32:CG32"/>
    <mergeCell ref="BJ33:BL33"/>
    <mergeCell ref="BM33:BO33"/>
    <mergeCell ref="BP33:BR33"/>
    <mergeCell ref="BS33:BU33"/>
    <mergeCell ref="BV33:BX33"/>
    <mergeCell ref="BY33:CA33"/>
    <mergeCell ref="CB33:CD33"/>
    <mergeCell ref="AF32:AH32"/>
    <mergeCell ref="AC33:AE33"/>
    <mergeCell ref="BG26:BI26"/>
    <mergeCell ref="BG27:BI27"/>
    <mergeCell ref="BG28:BI28"/>
    <mergeCell ref="Z60:AA60"/>
    <mergeCell ref="AE60:AG60"/>
    <mergeCell ref="AH60:AI60"/>
    <mergeCell ref="BG31:BI31"/>
    <mergeCell ref="BG32:BI32"/>
    <mergeCell ref="BG33:BI33"/>
    <mergeCell ref="AX32:AZ32"/>
    <mergeCell ref="AX33:AZ33"/>
    <mergeCell ref="AI31:AK31"/>
    <mergeCell ref="AC32:AE32"/>
    <mergeCell ref="AF33:AH33"/>
    <mergeCell ref="AI32:AK32"/>
    <mergeCell ref="BG30:BI30"/>
    <mergeCell ref="BG29:BI29"/>
    <mergeCell ref="BA30:BC30"/>
    <mergeCell ref="BA31:BC31"/>
    <mergeCell ref="AL29:AN29"/>
    <mergeCell ref="AL30:AN30"/>
    <mergeCell ref="AI30:AK30"/>
    <mergeCell ref="AI29:AK29"/>
    <mergeCell ref="AC31:AE31"/>
    <mergeCell ref="AF31:AH31"/>
    <mergeCell ref="W31:Y31"/>
    <mergeCell ref="AX31:AZ31"/>
    <mergeCell ref="K25:M25"/>
    <mergeCell ref="H25:J25"/>
    <mergeCell ref="H26:J26"/>
    <mergeCell ref="B25:D25"/>
    <mergeCell ref="E25:G25"/>
    <mergeCell ref="K26:M26"/>
    <mergeCell ref="K33:M33"/>
    <mergeCell ref="N30:P30"/>
    <mergeCell ref="N31:P31"/>
    <mergeCell ref="N32:P32"/>
    <mergeCell ref="K31:M31"/>
    <mergeCell ref="K32:M32"/>
    <mergeCell ref="N33:P33"/>
    <mergeCell ref="N25:P25"/>
    <mergeCell ref="N26:P26"/>
    <mergeCell ref="N28:P28"/>
    <mergeCell ref="N29:P29"/>
    <mergeCell ref="N27:P27"/>
    <mergeCell ref="K27:M27"/>
    <mergeCell ref="K28:M28"/>
    <mergeCell ref="K29:M29"/>
    <mergeCell ref="K30:M30"/>
    <mergeCell ref="H31:J31"/>
    <mergeCell ref="H32:J32"/>
    <mergeCell ref="H33:J33"/>
    <mergeCell ref="Q25:S25"/>
    <mergeCell ref="Q28:S28"/>
    <mergeCell ref="Q31:S31"/>
    <mergeCell ref="H27:J27"/>
    <mergeCell ref="H28:J28"/>
    <mergeCell ref="H29:J29"/>
    <mergeCell ref="H30:J30"/>
    <mergeCell ref="T25:V25"/>
    <mergeCell ref="Q26:S26"/>
    <mergeCell ref="T26:V26"/>
    <mergeCell ref="Q27:S27"/>
    <mergeCell ref="T27:V27"/>
    <mergeCell ref="T28:V28"/>
    <mergeCell ref="Q29:S29"/>
    <mergeCell ref="T29:V29"/>
    <mergeCell ref="Q30:S30"/>
    <mergeCell ref="T30:V30"/>
    <mergeCell ref="T31:V31"/>
    <mergeCell ref="Q32:S32"/>
    <mergeCell ref="T32:V32"/>
    <mergeCell ref="Q33:S33"/>
    <mergeCell ref="T33:V33"/>
    <mergeCell ref="Z61:AA61"/>
    <mergeCell ref="W25:Y25"/>
    <mergeCell ref="Z25:AB25"/>
    <mergeCell ref="W26:Y26"/>
    <mergeCell ref="Z26:AB26"/>
    <mergeCell ref="Z29:AB29"/>
    <mergeCell ref="W30:Y30"/>
    <mergeCell ref="Z30:AB30"/>
    <mergeCell ref="W27:Y27"/>
    <mergeCell ref="W60:Y60"/>
    <mergeCell ref="Z27:AB27"/>
    <mergeCell ref="W28:Y28"/>
    <mergeCell ref="Z28:AB28"/>
    <mergeCell ref="W29:Y29"/>
    <mergeCell ref="AF25:AH25"/>
    <mergeCell ref="AC26:AE26"/>
    <mergeCell ref="AF26:AH26"/>
    <mergeCell ref="W33:Y33"/>
    <mergeCell ref="Z33:AB33"/>
    <mergeCell ref="Z31:AB31"/>
    <mergeCell ref="W32:Y32"/>
    <mergeCell ref="Z32:AB32"/>
    <mergeCell ref="AF30:AH30"/>
    <mergeCell ref="AC30:AE30"/>
    <mergeCell ref="AI25:AK25"/>
    <mergeCell ref="AL25:AN25"/>
    <mergeCell ref="AL26:AN26"/>
    <mergeCell ref="AC29:AE29"/>
    <mergeCell ref="AF29:AH29"/>
    <mergeCell ref="AC27:AE27"/>
    <mergeCell ref="AF27:AH27"/>
    <mergeCell ref="AC28:AE28"/>
    <mergeCell ref="AF28:AH28"/>
    <mergeCell ref="AC25:AE25"/>
    <mergeCell ref="BA34:BC34"/>
    <mergeCell ref="AR34:AT34"/>
    <mergeCell ref="AL34:AN34"/>
    <mergeCell ref="BA33:BC33"/>
    <mergeCell ref="AU33:AW33"/>
    <mergeCell ref="AR33:AT33"/>
    <mergeCell ref="AO33:AQ33"/>
    <mergeCell ref="AL33:AN33"/>
    <mergeCell ref="AI26:AK26"/>
    <mergeCell ref="AL31:AN31"/>
    <mergeCell ref="AL32:AN32"/>
    <mergeCell ref="AL27:AN27"/>
    <mergeCell ref="AL28:AN28"/>
    <mergeCell ref="AI28:AK28"/>
    <mergeCell ref="AI27:AK27"/>
    <mergeCell ref="AE61:AG61"/>
    <mergeCell ref="AH61:AI61"/>
    <mergeCell ref="C66:E66"/>
    <mergeCell ref="C67:E67"/>
    <mergeCell ref="U67:W67"/>
    <mergeCell ref="AD67:AF67"/>
    <mergeCell ref="AA66:AC66"/>
    <mergeCell ref="X67:Z67"/>
    <mergeCell ref="AA67:AC67"/>
    <mergeCell ref="W61:Y61"/>
    <mergeCell ref="AO25:AQ25"/>
    <mergeCell ref="AR25:AT25"/>
    <mergeCell ref="AO26:AQ26"/>
    <mergeCell ref="AR26:AT26"/>
    <mergeCell ref="AO27:AQ27"/>
    <mergeCell ref="AR27:AT27"/>
    <mergeCell ref="AO28:AQ28"/>
    <mergeCell ref="AR28:AT28"/>
    <mergeCell ref="AO32:AQ32"/>
    <mergeCell ref="AR32:AT32"/>
    <mergeCell ref="AO29:AQ29"/>
    <mergeCell ref="AR29:AT29"/>
    <mergeCell ref="AO30:AQ30"/>
    <mergeCell ref="AR30:AT30"/>
    <mergeCell ref="AR31:AT31"/>
    <mergeCell ref="AO31:AQ31"/>
    <mergeCell ref="AX25:AZ25"/>
    <mergeCell ref="AU25:AW25"/>
    <mergeCell ref="BA25:BC25"/>
    <mergeCell ref="AX26:AZ26"/>
    <mergeCell ref="BA26:BC26"/>
    <mergeCell ref="AU26:AW26"/>
    <mergeCell ref="AJ67:AL67"/>
    <mergeCell ref="U68:W68"/>
    <mergeCell ref="AG68:AI68"/>
    <mergeCell ref="AJ68:AL68"/>
    <mergeCell ref="X68:Z68"/>
    <mergeCell ref="AA68:AC68"/>
    <mergeCell ref="BA32:BC32"/>
    <mergeCell ref="AX30:AZ30"/>
    <mergeCell ref="BA27:BC27"/>
    <mergeCell ref="BA28:BC28"/>
    <mergeCell ref="AX29:AZ29"/>
    <mergeCell ref="AX28:AZ28"/>
    <mergeCell ref="AX27:AZ27"/>
    <mergeCell ref="C69:E69"/>
    <mergeCell ref="C70:E70"/>
    <mergeCell ref="U70:W70"/>
    <mergeCell ref="AJ66:AL66"/>
    <mergeCell ref="AD68:AF68"/>
    <mergeCell ref="AD70:AF70"/>
    <mergeCell ref="AU30:AW30"/>
    <mergeCell ref="AU32:AW32"/>
    <mergeCell ref="AU31:AW31"/>
    <mergeCell ref="AU27:AW27"/>
    <mergeCell ref="C73:E73"/>
    <mergeCell ref="R69:T69"/>
    <mergeCell ref="U69:W69"/>
    <mergeCell ref="AD69:AF69"/>
    <mergeCell ref="U66:W66"/>
    <mergeCell ref="AD66:AF66"/>
    <mergeCell ref="AG66:AI66"/>
    <mergeCell ref="AU28:AW28"/>
    <mergeCell ref="C68:E68"/>
    <mergeCell ref="C74:E74"/>
    <mergeCell ref="C75:E75"/>
    <mergeCell ref="F75:H75"/>
    <mergeCell ref="O69:Q69"/>
    <mergeCell ref="O75:Q75"/>
    <mergeCell ref="C71:E71"/>
    <mergeCell ref="C72:E72"/>
    <mergeCell ref="I74:K74"/>
    <mergeCell ref="I75:K75"/>
    <mergeCell ref="X72:Z72"/>
    <mergeCell ref="AA72:AC72"/>
    <mergeCell ref="AE22:AG22"/>
    <mergeCell ref="E43:G43"/>
    <mergeCell ref="I43:K43"/>
    <mergeCell ref="M43:O43"/>
    <mergeCell ref="Q43:S43"/>
    <mergeCell ref="U43:W43"/>
    <mergeCell ref="AG67:AI67"/>
    <mergeCell ref="X66:Z66"/>
    <mergeCell ref="AM66:AO66"/>
    <mergeCell ref="AM67:AO67"/>
    <mergeCell ref="B87:D87"/>
    <mergeCell ref="I85:L85"/>
    <mergeCell ref="E84:H84"/>
    <mergeCell ref="I84:L84"/>
    <mergeCell ref="E85:H85"/>
    <mergeCell ref="X73:Z73"/>
    <mergeCell ref="AA73:AC73"/>
    <mergeCell ref="X74:Z74"/>
    <mergeCell ref="C65:H65"/>
    <mergeCell ref="X65:AC65"/>
    <mergeCell ref="B85:D85"/>
    <mergeCell ref="B86:D86"/>
    <mergeCell ref="B84:D84"/>
    <mergeCell ref="M84:P84"/>
    <mergeCell ref="M85:P85"/>
    <mergeCell ref="AA74:AC74"/>
    <mergeCell ref="X71:Z71"/>
    <mergeCell ref="AA71:AC71"/>
    <mergeCell ref="AS72:AU72"/>
    <mergeCell ref="AP66:AR66"/>
    <mergeCell ref="AP67:AR67"/>
    <mergeCell ref="AP69:AR69"/>
    <mergeCell ref="AP70:AR70"/>
    <mergeCell ref="AP71:AR71"/>
    <mergeCell ref="AP72:AR72"/>
    <mergeCell ref="AS68:AU68"/>
    <mergeCell ref="AS69:AU69"/>
    <mergeCell ref="AS70:AU70"/>
    <mergeCell ref="AS71:AU71"/>
    <mergeCell ref="AV69:AX69"/>
    <mergeCell ref="AV70:AX70"/>
    <mergeCell ref="AV71:AX71"/>
    <mergeCell ref="AV72:AX72"/>
    <mergeCell ref="AV65:AX65"/>
    <mergeCell ref="AV66:AX66"/>
    <mergeCell ref="AV67:AX67"/>
    <mergeCell ref="AV68:AX68"/>
    <mergeCell ref="AV73:AX73"/>
    <mergeCell ref="AV74:AX74"/>
    <mergeCell ref="AM68:AO68"/>
    <mergeCell ref="AM69:AO69"/>
    <mergeCell ref="AM70:AO70"/>
    <mergeCell ref="AM71:AO71"/>
    <mergeCell ref="AM72:AO72"/>
    <mergeCell ref="AM73:AO73"/>
    <mergeCell ref="AM74:AO74"/>
    <mergeCell ref="AP68:AR68"/>
    <mergeCell ref="AJ75:AL75"/>
    <mergeCell ref="AM75:AO75"/>
    <mergeCell ref="AM65:AU65"/>
    <mergeCell ref="AD65:AL65"/>
    <mergeCell ref="AS73:AU73"/>
    <mergeCell ref="AS74:AU74"/>
    <mergeCell ref="AP73:AR73"/>
    <mergeCell ref="AP74:AR74"/>
    <mergeCell ref="AS66:AU66"/>
    <mergeCell ref="AS67:AU67"/>
    <mergeCell ref="AS75:AU75"/>
    <mergeCell ref="AV75:AX75"/>
    <mergeCell ref="AG76:AI76"/>
    <mergeCell ref="AJ76:AL76"/>
    <mergeCell ref="AM76:AO76"/>
    <mergeCell ref="AP76:AR76"/>
    <mergeCell ref="AS76:AU76"/>
    <mergeCell ref="AV76:AX76"/>
    <mergeCell ref="AP75:AR75"/>
    <mergeCell ref="AG75:AI75"/>
    <mergeCell ref="AY65:BA65"/>
    <mergeCell ref="AY66:BA66"/>
    <mergeCell ref="AY67:BA67"/>
    <mergeCell ref="AY68:BA68"/>
    <mergeCell ref="AY69:BA69"/>
    <mergeCell ref="AY70:BA70"/>
    <mergeCell ref="AY71:BA71"/>
    <mergeCell ref="AY72:BA72"/>
    <mergeCell ref="AY73:BA73"/>
    <mergeCell ref="AY74:BA74"/>
    <mergeCell ref="AY75:BA75"/>
    <mergeCell ref="AY76:BA76"/>
    <mergeCell ref="AM79:AO79"/>
    <mergeCell ref="AM77:AO77"/>
    <mergeCell ref="AP77:AR77"/>
    <mergeCell ref="AS77:AU77"/>
    <mergeCell ref="AM78:AO78"/>
    <mergeCell ref="AP78:AR78"/>
    <mergeCell ref="AS78:AU78"/>
    <mergeCell ref="P96:R96"/>
    <mergeCell ref="S96:T96"/>
    <mergeCell ref="M95:V95"/>
    <mergeCell ref="AJ77:AL77"/>
    <mergeCell ref="AJ78:AL78"/>
    <mergeCell ref="AJ79:AL79"/>
    <mergeCell ref="V93:W93"/>
    <mergeCell ref="X93:Z93"/>
    <mergeCell ref="V94:W94"/>
    <mergeCell ref="B82:D82"/>
    <mergeCell ref="E83:H83"/>
    <mergeCell ref="I83:L83"/>
    <mergeCell ref="M83:P83"/>
    <mergeCell ref="B83:D83"/>
    <mergeCell ref="E82:G82"/>
    <mergeCell ref="I82:K82"/>
    <mergeCell ref="M82:O82"/>
    <mergeCell ref="E86:H86"/>
    <mergeCell ref="I86:L86"/>
    <mergeCell ref="E87:H87"/>
    <mergeCell ref="I87:L87"/>
    <mergeCell ref="T82:V82"/>
    <mergeCell ref="X82:Z82"/>
    <mergeCell ref="AB82:AD82"/>
    <mergeCell ref="Q83:S83"/>
    <mergeCell ref="T83:W83"/>
    <mergeCell ref="X83:AA83"/>
    <mergeCell ref="AB83:AE83"/>
    <mergeCell ref="Q82:S82"/>
    <mergeCell ref="Q85:S85"/>
    <mergeCell ref="Q84:S84"/>
    <mergeCell ref="T84:W84"/>
    <mergeCell ref="X84:AA84"/>
    <mergeCell ref="Q86:S86"/>
    <mergeCell ref="N94:O94"/>
    <mergeCell ref="P94:R94"/>
    <mergeCell ref="S94:T94"/>
    <mergeCell ref="M86:P86"/>
    <mergeCell ref="M87:P87"/>
    <mergeCell ref="X87:AA87"/>
    <mergeCell ref="AB87:AE87"/>
    <mergeCell ref="N93:O93"/>
    <mergeCell ref="P93:R93"/>
    <mergeCell ref="S93:T93"/>
    <mergeCell ref="B81:AE81"/>
    <mergeCell ref="T85:W85"/>
    <mergeCell ref="T86:W86"/>
    <mergeCell ref="T87:W87"/>
    <mergeCell ref="X85:AA85"/>
    <mergeCell ref="AB85:AE85"/>
    <mergeCell ref="AB86:AE86"/>
    <mergeCell ref="AB84:AE84"/>
    <mergeCell ref="X86:AA86"/>
    <mergeCell ref="Q87:S87"/>
    <mergeCell ref="P97:R97"/>
    <mergeCell ref="S97:T97"/>
    <mergeCell ref="P101:R101"/>
    <mergeCell ref="S101:T101"/>
    <mergeCell ref="P98:R98"/>
    <mergeCell ref="S98:T98"/>
    <mergeCell ref="P102:R102"/>
    <mergeCell ref="S102:T102"/>
    <mergeCell ref="A108:B108"/>
    <mergeCell ref="L108:N108"/>
    <mergeCell ref="O108:Q108"/>
    <mergeCell ref="C108:K108"/>
    <mergeCell ref="U108:W108"/>
    <mergeCell ref="AA108:AC108"/>
    <mergeCell ref="AD108:AF108"/>
    <mergeCell ref="X108:Z108"/>
    <mergeCell ref="AJ108:AL108"/>
    <mergeCell ref="AM108:AO108"/>
    <mergeCell ref="AP108:AR108"/>
    <mergeCell ref="AV108:AX108"/>
    <mergeCell ref="AS108:AU108"/>
    <mergeCell ref="A109:B109"/>
    <mergeCell ref="C109:E109"/>
    <mergeCell ref="I109:K109"/>
    <mergeCell ref="L109:N109"/>
    <mergeCell ref="O109:Q109"/>
    <mergeCell ref="U109:W109"/>
    <mergeCell ref="AA109:AC109"/>
    <mergeCell ref="AD109:AF109"/>
    <mergeCell ref="X109:Z109"/>
    <mergeCell ref="A110:B110"/>
    <mergeCell ref="C110:E110"/>
    <mergeCell ref="I110:K110"/>
    <mergeCell ref="L110:N110"/>
    <mergeCell ref="O110:Q110"/>
    <mergeCell ref="U110:W110"/>
    <mergeCell ref="AA110:AC110"/>
    <mergeCell ref="AD110:AF110"/>
    <mergeCell ref="A111:B111"/>
    <mergeCell ref="C111:E111"/>
    <mergeCell ref="I111:K111"/>
    <mergeCell ref="L111:N111"/>
    <mergeCell ref="O111:Q111"/>
    <mergeCell ref="U111:W111"/>
    <mergeCell ref="AA111:AC111"/>
    <mergeCell ref="A112:B112"/>
    <mergeCell ref="C112:E112"/>
    <mergeCell ref="I112:K112"/>
    <mergeCell ref="L112:N112"/>
    <mergeCell ref="O112:Q112"/>
    <mergeCell ref="U112:W112"/>
    <mergeCell ref="AA112:AC112"/>
    <mergeCell ref="A113:B113"/>
    <mergeCell ref="C113:E113"/>
    <mergeCell ref="I113:K113"/>
    <mergeCell ref="L113:N113"/>
    <mergeCell ref="O113:Q113"/>
    <mergeCell ref="U113:W113"/>
    <mergeCell ref="AA113:AC113"/>
    <mergeCell ref="AM113:AO113"/>
    <mergeCell ref="AM114:AO114"/>
    <mergeCell ref="AP113:AR113"/>
    <mergeCell ref="AP114:AR114"/>
    <mergeCell ref="A114:B114"/>
    <mergeCell ref="C114:E114"/>
    <mergeCell ref="I114:K114"/>
    <mergeCell ref="L114:N114"/>
    <mergeCell ref="O114:Q114"/>
    <mergeCell ref="U114:W114"/>
    <mergeCell ref="AA114:AC114"/>
    <mergeCell ref="R116:T116"/>
    <mergeCell ref="O115:Q115"/>
    <mergeCell ref="U115:W115"/>
    <mergeCell ref="AA115:AC115"/>
    <mergeCell ref="AD115:AF115"/>
    <mergeCell ref="A115:B115"/>
    <mergeCell ref="C115:E115"/>
    <mergeCell ref="I115:K115"/>
    <mergeCell ref="L115:N115"/>
    <mergeCell ref="C116:E116"/>
    <mergeCell ref="I116:K116"/>
    <mergeCell ref="L116:N116"/>
    <mergeCell ref="O116:Q116"/>
    <mergeCell ref="U116:W116"/>
    <mergeCell ref="AA116:AC116"/>
    <mergeCell ref="AD116:AF116"/>
    <mergeCell ref="F109:H109"/>
    <mergeCell ref="F111:H111"/>
    <mergeCell ref="F113:H113"/>
    <mergeCell ref="F114:H114"/>
    <mergeCell ref="F115:H115"/>
    <mergeCell ref="F116:H116"/>
    <mergeCell ref="F110:H110"/>
    <mergeCell ref="F112:H112"/>
    <mergeCell ref="R108:T108"/>
    <mergeCell ref="R109:T109"/>
    <mergeCell ref="R110:T110"/>
    <mergeCell ref="R111:T111"/>
    <mergeCell ref="R112:T112"/>
    <mergeCell ref="R113:T113"/>
    <mergeCell ref="R114:T114"/>
    <mergeCell ref="R115:T115"/>
    <mergeCell ref="X114:Z114"/>
    <mergeCell ref="X115:Z115"/>
    <mergeCell ref="X116:Z116"/>
    <mergeCell ref="X110:Z110"/>
    <mergeCell ref="X111:Z111"/>
    <mergeCell ref="X112:Z112"/>
    <mergeCell ref="X113:Z113"/>
  </mergeCells>
  <conditionalFormatting sqref="F22:H22 N22:P22">
    <cfRule type="expression" priority="1" dxfId="0" stopIfTrue="1">
      <formula>$AI$22=TRUE</formula>
    </cfRule>
  </conditionalFormatting>
  <conditionalFormatting sqref="E46:H50">
    <cfRule type="expression" priority="2" dxfId="0" stopIfTrue="1">
      <formula>$H$43=TRUE</formula>
    </cfRule>
  </conditionalFormatting>
  <conditionalFormatting sqref="I46:L50">
    <cfRule type="expression" priority="3" dxfId="0" stopIfTrue="1">
      <formula>$L$43=TRUE</formula>
    </cfRule>
  </conditionalFormatting>
  <conditionalFormatting sqref="M46:P50">
    <cfRule type="expression" priority="4" dxfId="0" stopIfTrue="1">
      <formula>$P$43=TRUE</formula>
    </cfRule>
  </conditionalFormatting>
  <conditionalFormatting sqref="Q46:T50">
    <cfRule type="expression" priority="5" dxfId="0" stopIfTrue="1">
      <formula>$T$43=TRUE</formula>
    </cfRule>
  </conditionalFormatting>
  <conditionalFormatting sqref="U46:X50">
    <cfRule type="expression" priority="6" dxfId="0" stopIfTrue="1">
      <formula>$X$43=TRUE</formula>
    </cfRule>
  </conditionalFormatting>
  <conditionalFormatting sqref="AE22:AG22 E43:G43 I43:K43 M43:O43 Q43:S43 U43:W43 E82:G82 I82:K82 M82:O82 T82:V82 X82:Z82 AB82:AD82 X92:Z92">
    <cfRule type="cellIs" priority="7" dxfId="1" operator="equal" stopIfTrue="1">
      <formula>"igen"</formula>
    </cfRule>
  </conditionalFormatting>
  <conditionalFormatting sqref="E84:H87">
    <cfRule type="expression" priority="8" dxfId="0" stopIfTrue="1">
      <formula>$E$82="igen"</formula>
    </cfRule>
  </conditionalFormatting>
  <conditionalFormatting sqref="I84:L87">
    <cfRule type="expression" priority="9" dxfId="0" stopIfTrue="1">
      <formula>$I$82="igen"</formula>
    </cfRule>
  </conditionalFormatting>
  <conditionalFormatting sqref="M84:P87">
    <cfRule type="expression" priority="10" dxfId="0" stopIfTrue="1">
      <formula>$M$82="igen"</formula>
    </cfRule>
  </conditionalFormatting>
  <conditionalFormatting sqref="T84:W87">
    <cfRule type="expression" priority="11" dxfId="0" stopIfTrue="1">
      <formula>$T$82="igen"</formula>
    </cfRule>
  </conditionalFormatting>
  <conditionalFormatting sqref="X84:AA87">
    <cfRule type="expression" priority="12" dxfId="0" stopIfTrue="1">
      <formula>$X$82="igen"</formula>
    </cfRule>
  </conditionalFormatting>
  <conditionalFormatting sqref="AB84:AE87">
    <cfRule type="expression" priority="13" dxfId="0" stopIfTrue="1">
      <formula>$AB$82="igen"</formula>
    </cfRule>
  </conditionalFormatting>
  <conditionalFormatting sqref="X93:Z94 X96:Z98 X100:Z102">
    <cfRule type="expression" priority="14" dxfId="0" stopIfTrue="1">
      <formula>$AB$92=TRUE</formula>
    </cfRule>
  </conditionalFormatting>
  <conditionalFormatting sqref="AE93:AG94 AE96:AG98 AE100:AG102">
    <cfRule type="expression" priority="15" dxfId="0" stopIfTrue="1">
      <formula>$AI$92=TRUE</formula>
    </cfRule>
  </conditionalFormatting>
  <conditionalFormatting sqref="AC92:AH92">
    <cfRule type="expression" priority="16" dxfId="2" stopIfTrue="1">
      <formula>$AI$92=TRUE</formula>
    </cfRule>
  </conditionalFormatting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Agárdy Gyula</dc:creator>
  <cp:keywords/>
  <dc:description/>
  <cp:lastModifiedBy>Agárdy Gyula</cp:lastModifiedBy>
  <cp:lastPrinted>2002-11-13T17:17:10Z</cp:lastPrinted>
  <dcterms:created xsi:type="dcterms:W3CDTF">2002-11-04T04:46:28Z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