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475" windowHeight="8760" activeTab="1"/>
  </bookViews>
  <sheets>
    <sheet name="Munka1" sheetId="1" r:id="rId1"/>
    <sheet name="Fogaskerek_Szamitas" sheetId="2" r:id="rId2"/>
  </sheets>
  <definedNames>
    <definedName name="solver_adj" localSheetId="1" hidden="1">Fogaskerek_Szamitas!$F$53</definedName>
    <definedName name="solver_cvg" localSheetId="1" hidden="1">"""""""""""""""0,0001"""""""""""""""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"""""""""""""""0,075"""""""""""""""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Fogaskerek_Szamitas!$E$52</definedName>
    <definedName name="solver_pre" localSheetId="1" hidden="1">"""""""""""""""0,000001"""""""""""""""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C2" i="1" l="1"/>
  <c r="C17" i="1"/>
  <c r="C16" i="1" l="1"/>
  <c r="C4" i="1"/>
  <c r="C3" i="1"/>
  <c r="B59" i="2"/>
  <c r="C59" i="2" s="1"/>
  <c r="B57" i="2"/>
  <c r="C57" i="2" s="1"/>
  <c r="B38" i="2"/>
  <c r="B33" i="2"/>
  <c r="C6" i="1" s="1"/>
  <c r="B32" i="2"/>
  <c r="C5" i="1" s="1"/>
  <c r="B30" i="2"/>
  <c r="B31" i="2" s="1"/>
  <c r="B29" i="2"/>
  <c r="B34" i="2" s="1"/>
  <c r="B28" i="2"/>
  <c r="B26" i="2"/>
  <c r="B27" i="2"/>
  <c r="B23" i="2"/>
  <c r="B24" i="2"/>
  <c r="C24" i="2"/>
  <c r="B21" i="2"/>
  <c r="B20" i="2"/>
  <c r="B19" i="2"/>
  <c r="B25" i="2"/>
  <c r="B18" i="2"/>
  <c r="C18" i="2"/>
  <c r="B22" i="2"/>
  <c r="C29" i="2"/>
  <c r="D29" i="2" l="1"/>
  <c r="E30" i="2" s="1"/>
  <c r="B41" i="2"/>
  <c r="D31" i="2"/>
  <c r="C31" i="2"/>
  <c r="B39" i="2"/>
  <c r="B40" i="2" s="1"/>
  <c r="C15" i="1"/>
  <c r="D34" i="2"/>
  <c r="C7" i="1" s="1"/>
  <c r="B36" i="2"/>
  <c r="D36" i="2" s="1"/>
  <c r="C9" i="1" s="1"/>
  <c r="B43" i="2"/>
  <c r="B58" i="2" s="1"/>
  <c r="B35" i="2"/>
  <c r="B42" i="2" l="1"/>
  <c r="B55" i="2"/>
  <c r="B45" i="2"/>
  <c r="B50" i="2" s="1"/>
  <c r="B44" i="2"/>
  <c r="B46" i="2" s="1"/>
  <c r="B53" i="2"/>
  <c r="C11" i="1" s="1"/>
  <c r="B37" i="2"/>
  <c r="D37" i="2" s="1"/>
  <c r="C10" i="1" s="1"/>
  <c r="D35" i="2"/>
  <c r="C8" i="1" s="1"/>
  <c r="E32" i="2"/>
  <c r="D45" i="2"/>
  <c r="C13" i="1" s="1"/>
  <c r="B56" i="2" l="1"/>
  <c r="B60" i="2"/>
  <c r="B61" i="2"/>
  <c r="B54" i="2"/>
  <c r="C12" i="1" s="1"/>
  <c r="B51" i="2"/>
  <c r="B52" i="2" s="1"/>
  <c r="D46" i="2"/>
  <c r="C14" i="1" s="1"/>
  <c r="B47" i="2"/>
  <c r="B48" i="2" l="1"/>
  <c r="B49" i="2" s="1"/>
  <c r="E52" i="2" s="1"/>
</calcChain>
</file>

<file path=xl/sharedStrings.xml><?xml version="1.0" encoding="utf-8"?>
<sst xmlns="http://schemas.openxmlformats.org/spreadsheetml/2006/main" count="226" uniqueCount="164">
  <si>
    <t>CREO BEMENŐ ADATOK</t>
  </si>
  <si>
    <t>Z1</t>
  </si>
  <si>
    <t>Z2</t>
  </si>
  <si>
    <t>DW1</t>
  </si>
  <si>
    <t>DW2</t>
  </si>
  <si>
    <t>DB1</t>
  </si>
  <si>
    <t>DB2</t>
  </si>
  <si>
    <t>DF1</t>
  </si>
  <si>
    <t>DF2</t>
  </si>
  <si>
    <t>DA1</t>
  </si>
  <si>
    <t>DA2</t>
  </si>
  <si>
    <t>ALPHA_W</t>
  </si>
  <si>
    <t>ELSŐ LÉPÉS SAJÁT ADATOK</t>
  </si>
  <si>
    <t>MÁSODIK LÉPÉS KISKERÉK FOGSZÁM VÁLASZTÁS</t>
  </si>
  <si>
    <t>HARMADIK LÉPÉS ANYAG VÁLASZTÁS</t>
  </si>
  <si>
    <t>NEGYEDIK LÉPÉS SZABVÁNYOS TENGELYTÁV, MODUL VÁLASZTÁS</t>
  </si>
  <si>
    <t>ÖTÖDIK LÉPÉS NAGYKERÉK FOGSZÁM MEGADÁSA</t>
  </si>
  <si>
    <t>HATODIK LÉPÉS SOLVER FUTTATÁSA</t>
  </si>
  <si>
    <t>Jelölések</t>
  </si>
  <si>
    <t>Adatok</t>
  </si>
  <si>
    <r>
      <t>P</t>
    </r>
    <r>
      <rPr>
        <b/>
        <sz val="8"/>
        <rFont val="Arial"/>
        <family val="2"/>
        <charset val="238"/>
      </rPr>
      <t>m</t>
    </r>
    <r>
      <rPr>
        <b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[kW]</t>
    </r>
  </si>
  <si>
    <t>motor teljesítmény</t>
  </si>
  <si>
    <t>A fogaskerék anyagjellemzői</t>
  </si>
  <si>
    <r>
      <t>n</t>
    </r>
    <r>
      <rPr>
        <b/>
        <sz val="8"/>
        <rFont val="Arial"/>
        <family val="2"/>
        <charset val="238"/>
      </rPr>
      <t>m</t>
    </r>
    <r>
      <rPr>
        <b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[1/min]</t>
    </r>
  </si>
  <si>
    <t>motor fordulatszám</t>
  </si>
  <si>
    <r>
      <t>s</t>
    </r>
    <r>
      <rPr>
        <b/>
        <sz val="8"/>
        <rFont val="Arial"/>
        <family val="2"/>
        <charset val="238"/>
      </rPr>
      <t xml:space="preserve">D </t>
    </r>
    <r>
      <rPr>
        <i/>
        <sz val="10"/>
        <rFont val="Arial"/>
        <family val="2"/>
        <charset val="238"/>
      </rPr>
      <t>[Mpa]</t>
    </r>
  </si>
  <si>
    <t>C45E</t>
  </si>
  <si>
    <r>
      <t>c</t>
    </r>
    <r>
      <rPr>
        <b/>
        <sz val="8"/>
        <rFont val="Arial"/>
        <family val="2"/>
        <charset val="238"/>
      </rPr>
      <t>d</t>
    </r>
  </si>
  <si>
    <t>dinamkus tényező</t>
  </si>
  <si>
    <r>
      <t xml:space="preserve">k0 </t>
    </r>
    <r>
      <rPr>
        <i/>
        <sz val="10"/>
        <rFont val="Arial"/>
        <family val="2"/>
        <charset val="238"/>
      </rPr>
      <t>[Mpa]</t>
    </r>
  </si>
  <si>
    <t>i</t>
  </si>
  <si>
    <t>ékszíj hajtás áttétele</t>
  </si>
  <si>
    <t>Ékszíjhajtásból</t>
  </si>
  <si>
    <t>Anyagminőség táblázat!!!</t>
  </si>
  <si>
    <t>u</t>
  </si>
  <si>
    <t>fogszámviszony</t>
  </si>
  <si>
    <t>h</t>
  </si>
  <si>
    <t>motor hatásfok</t>
  </si>
  <si>
    <r>
      <t>z</t>
    </r>
    <r>
      <rPr>
        <b/>
        <sz val="8"/>
        <rFont val="Arial"/>
        <family val="2"/>
        <charset val="238"/>
      </rPr>
      <t>1</t>
    </r>
  </si>
  <si>
    <t>kiskerék fogszám</t>
  </si>
  <si>
    <t>z1 és z2 nek ne legyen közös osztója ! 18-30 között lehet !</t>
  </si>
  <si>
    <r>
      <t>a</t>
    </r>
    <r>
      <rPr>
        <i/>
        <sz val="10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</si>
  <si>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t>alaprofil szög</t>
  </si>
  <si>
    <r>
      <t>a</t>
    </r>
    <r>
      <rPr>
        <b/>
        <sz val="8"/>
        <rFont val="Arial"/>
        <family val="2"/>
        <charset val="238"/>
      </rPr>
      <t>w</t>
    </r>
    <r>
      <rPr>
        <i/>
        <sz val="10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</si>
  <si>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t>kapcsolószög</t>
  </si>
  <si>
    <t>Előzetesen felvéve</t>
  </si>
  <si>
    <t>j</t>
  </si>
  <si>
    <t>pontossági fokozat</t>
  </si>
  <si>
    <t>8 as csoport</t>
  </si>
  <si>
    <t>Y</t>
  </si>
  <si>
    <t>fogalak tényező</t>
  </si>
  <si>
    <t>c*</t>
  </si>
  <si>
    <t>lábhézagtényező</t>
  </si>
  <si>
    <t>Fogtő kifáradási hatfesz</t>
  </si>
  <si>
    <t>Fogfelület pnyom kifhatár</t>
  </si>
  <si>
    <t>Számolás</t>
  </si>
  <si>
    <r>
      <t>n</t>
    </r>
    <r>
      <rPr>
        <b/>
        <sz val="8"/>
        <rFont val="Arial"/>
        <family val="2"/>
        <charset val="238"/>
      </rPr>
      <t>1</t>
    </r>
    <r>
      <rPr>
        <b/>
        <i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[1/min]</t>
    </r>
  </si>
  <si>
    <t>áttelből fordulatszám</t>
  </si>
  <si>
    <r>
      <t>P</t>
    </r>
    <r>
      <rPr>
        <b/>
        <sz val="8"/>
        <rFont val="Arial"/>
        <family val="2"/>
        <charset val="238"/>
      </rPr>
      <t xml:space="preserve">1 </t>
    </r>
    <r>
      <rPr>
        <i/>
        <sz val="10"/>
        <rFont val="Arial"/>
        <family val="2"/>
        <charset val="238"/>
      </rPr>
      <t>[W]</t>
    </r>
  </si>
  <si>
    <t>hasznos teljesítmény</t>
  </si>
  <si>
    <r>
      <t>s</t>
    </r>
    <r>
      <rPr>
        <b/>
        <sz val="8"/>
        <rFont val="Arial"/>
        <family val="2"/>
        <charset val="238"/>
      </rPr>
      <t>meg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[N/mm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]</t>
    </r>
  </si>
  <si>
    <t>megengedett hatfesz</t>
  </si>
  <si>
    <t>SZABVÁNYOS</t>
  </si>
  <si>
    <r>
      <t>k</t>
    </r>
    <r>
      <rPr>
        <b/>
        <sz val="8"/>
        <rFont val="Arial"/>
        <family val="2"/>
        <charset val="238"/>
      </rPr>
      <t>meg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[N/mm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]</t>
    </r>
  </si>
  <si>
    <t>mgengedett pnyomás</t>
  </si>
  <si>
    <t>TENGELYTÁV MEGADÁSA</t>
  </si>
  <si>
    <t>aw=</t>
  </si>
  <si>
    <r>
      <t>a</t>
    </r>
    <r>
      <rPr>
        <b/>
        <sz val="8"/>
        <rFont val="Arial"/>
        <family val="2"/>
        <charset val="238"/>
      </rPr>
      <t>wmin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</si>
  <si>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minimális tengelytáv</t>
  </si>
  <si>
    <r>
      <t>d'</t>
    </r>
    <r>
      <rPr>
        <b/>
        <sz val="8"/>
        <rFont val="Arial"/>
        <family val="2"/>
        <charset val="238"/>
      </rPr>
      <t>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</si>
  <si>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gördülőkör átmérő</t>
  </si>
  <si>
    <r>
      <t>b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</si>
  <si>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fogaskerék szélessége</t>
  </si>
  <si>
    <t>m=</t>
  </si>
  <si>
    <r>
      <t>m</t>
    </r>
    <r>
      <rPr>
        <b/>
        <sz val="8"/>
        <rFont val="Arial"/>
        <family val="2"/>
        <charset val="238"/>
      </rPr>
      <t>min</t>
    </r>
    <r>
      <rPr>
        <i/>
        <sz val="10"/>
        <rFont val="Arial"/>
        <family val="2"/>
        <charset val="238"/>
      </rPr>
      <t xml:space="preserve"> [mm]</t>
    </r>
  </si>
  <si>
    <t>minimális modul</t>
  </si>
  <si>
    <r>
      <t>a'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</si>
  <si>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előzetes elemi tengelytáv</t>
  </si>
  <si>
    <t>Szabványos MODUL</t>
  </si>
  <si>
    <r>
      <t>m'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</si>
  <si>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modul</t>
  </si>
  <si>
    <r>
      <t>z</t>
    </r>
    <r>
      <rPr>
        <b/>
        <sz val="8"/>
        <rFont val="Arial"/>
        <family val="2"/>
        <charset val="238"/>
      </rPr>
      <t>2</t>
    </r>
  </si>
  <si>
    <t>nagykerék fogszáma</t>
  </si>
  <si>
    <r>
      <t>u</t>
    </r>
    <r>
      <rPr>
        <b/>
        <sz val="8"/>
        <rFont val="Arial"/>
        <family val="2"/>
        <charset val="238"/>
      </rPr>
      <t>valós</t>
    </r>
  </si>
  <si>
    <t>valós fogszámviszony</t>
  </si>
  <si>
    <t>FOGSZÁMVISZON ELLENŐRZÉS</t>
  </si>
  <si>
    <r>
      <t xml:space="preserve">a </t>
    </r>
    <r>
      <rPr>
        <i/>
        <sz val="10"/>
        <rFont val="Arial"/>
        <family val="2"/>
        <charset val="238"/>
      </rPr>
      <t>[mm]</t>
    </r>
  </si>
  <si>
    <t>tengelytávolság</t>
  </si>
  <si>
    <r>
      <rPr>
        <b/>
        <sz val="10"/>
        <rFont val="Calibri"/>
        <family val="2"/>
        <charset val="238"/>
      </rPr>
      <t>ε</t>
    </r>
    <r>
      <rPr>
        <b/>
        <sz val="10"/>
        <rFont val="Arial"/>
        <family val="2"/>
        <charset val="238"/>
      </rPr>
      <t>a</t>
    </r>
  </si>
  <si>
    <t>Kapcsolószám</t>
  </si>
  <si>
    <t>GÖRDÜLŐKÖRI KAPCSOLÓSZÖG 23-26° KÖZÖTTI LEGYEN!</t>
  </si>
  <si>
    <r>
      <t>d</t>
    </r>
    <r>
      <rPr>
        <b/>
        <sz val="8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</si>
  <si>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</si>
  <si>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</si>
  <si>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dw1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</si>
  <si>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w2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</si>
  <si>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w2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</si>
  <si>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b1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</si>
  <si>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b1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</si>
  <si>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b2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</si>
  <si>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d</t>
    </r>
    <r>
      <rPr>
        <b/>
        <sz val="8"/>
        <rFont val="Arial"/>
        <family val="2"/>
        <charset val="238"/>
      </rPr>
      <t>b2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</si>
  <si>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inv</t>
    </r>
    <r>
      <rPr>
        <b/>
        <sz val="12"/>
        <rFont val="UniversalMath1 BT"/>
        <family val="1"/>
        <charset val="2"/>
      </rPr>
      <t xml:space="preserve">a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</si>
  <si>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r>
      <t>inv</t>
    </r>
    <r>
      <rPr>
        <b/>
        <sz val="12"/>
        <rFont val="UniversalMath1 BT"/>
        <family val="1"/>
        <charset val="2"/>
      </rPr>
      <t>a</t>
    </r>
    <r>
      <rPr>
        <b/>
        <sz val="8"/>
        <rFont val="Arial"/>
        <family val="2"/>
        <charset val="238"/>
      </rPr>
      <t>w</t>
    </r>
    <r>
      <rPr>
        <b/>
        <sz val="12"/>
        <rFont val="UniversalMath1 BT"/>
        <family val="1"/>
        <charset val="2"/>
      </rPr>
      <t xml:space="preserve"> </t>
    </r>
    <r>
      <rPr>
        <i/>
        <sz val="10"/>
        <rFont val="Arial"/>
        <family val="2"/>
        <charset val="238"/>
      </rPr>
      <t>[</t>
    </r>
    <r>
      <rPr>
        <i/>
        <vertAlign val="superscript"/>
        <sz val="10"/>
        <rFont val="Arial"/>
        <family val="2"/>
        <charset val="238"/>
      </rPr>
      <t>o</t>
    </r>
    <r>
      <rPr>
        <i/>
        <sz val="10"/>
        <rFont val="Arial"/>
        <family val="2"/>
        <charset val="238"/>
      </rPr>
      <t>]</t>
    </r>
  </si>
  <si>
    <r>
      <t>S</t>
    </r>
    <r>
      <rPr>
        <b/>
        <sz val="10"/>
        <rFont val="Arial"/>
        <family val="2"/>
      </rPr>
      <t>x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</si>
  <si>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y</t>
  </si>
  <si>
    <r>
      <t>h</t>
    </r>
    <r>
      <rPr>
        <b/>
        <sz val="8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</si>
  <si>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x</t>
    </r>
    <r>
      <rPr>
        <b/>
        <sz val="8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 xml:space="preserve"> [mm]</t>
    </r>
  </si>
  <si>
    <r>
      <t>x</t>
    </r>
    <r>
      <rPr>
        <b/>
        <sz val="8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 xml:space="preserve"> [mm]</t>
    </r>
  </si>
  <si>
    <r>
      <t>r</t>
    </r>
    <r>
      <rPr>
        <b/>
        <sz val="8"/>
        <rFont val="Arial"/>
        <family val="2"/>
        <charset val="238"/>
      </rPr>
      <t>a1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</si>
  <si>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da1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</si>
  <si>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a2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</si>
  <si>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rPr>
        <b/>
        <sz val="8"/>
        <rFont val="Arial"/>
        <family val="2"/>
        <charset val="238"/>
      </rPr>
      <t>da2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</si>
  <si>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2A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</si>
  <si>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r</t>
    </r>
    <r>
      <rPr>
        <b/>
        <sz val="8"/>
        <rFont val="Arial"/>
        <family val="2"/>
        <charset val="238"/>
      </rPr>
      <t>1A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</si>
  <si>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n</t>
    </r>
    <r>
      <rPr>
        <b/>
        <sz val="10"/>
        <rFont val="Arial"/>
        <family val="2"/>
      </rPr>
      <t>1</t>
    </r>
  </si>
  <si>
    <t xml:space="preserve">v1 = v2 egyenlőnek kell lennie 2 tizedesjegyre ! </t>
  </si>
  <si>
    <r>
      <t>rI</t>
    </r>
    <r>
      <rPr>
        <b/>
        <sz val="8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</si>
  <si>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Indítsa a (SOLVER-t) az Adatok fülön</t>
  </si>
  <si>
    <t>ilyenkor a relatív csúszás ki van egyenlítve</t>
  </si>
  <si>
    <r>
      <t>rII</t>
    </r>
    <r>
      <rPr>
        <b/>
        <sz val="8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</si>
  <si>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(újra el kell végezni ha nem 0)</t>
  </si>
  <si>
    <r>
      <t>n</t>
    </r>
    <r>
      <rPr>
        <b/>
        <sz val="10"/>
        <rFont val="Arial"/>
        <family val="2"/>
      </rPr>
      <t>2</t>
    </r>
  </si>
  <si>
    <r>
      <t>d</t>
    </r>
    <r>
      <rPr>
        <b/>
        <sz val="8"/>
        <rFont val="Arial"/>
        <family val="2"/>
        <charset val="238"/>
      </rPr>
      <t>f1</t>
    </r>
    <r>
      <rPr>
        <i/>
        <sz val="10"/>
        <rFont val="Arial"/>
        <family val="2"/>
        <charset val="238"/>
      </rPr>
      <t>[mm]</t>
    </r>
  </si>
  <si>
    <r>
      <t xml:space="preserve">ha2 </t>
    </r>
    <r>
      <rPr>
        <b/>
        <i/>
        <sz val="10"/>
        <color indexed="10"/>
        <rFont val="Arial"/>
        <family val="2"/>
        <charset val="238"/>
      </rPr>
      <t>[mm]</t>
    </r>
  </si>
  <si>
    <t>A solver állítja be az értékét!</t>
  </si>
  <si>
    <r>
      <t>d</t>
    </r>
    <r>
      <rPr>
        <b/>
        <sz val="8"/>
        <rFont val="Arial"/>
        <family val="2"/>
        <charset val="238"/>
      </rPr>
      <t>f2</t>
    </r>
    <r>
      <rPr>
        <i/>
        <sz val="10"/>
        <rFont val="Arial"/>
        <family val="2"/>
        <charset val="238"/>
      </rPr>
      <t>[mm]</t>
    </r>
  </si>
  <si>
    <r>
      <t>s</t>
    </r>
    <r>
      <rPr>
        <b/>
        <sz val="8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</si>
  <si>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s</t>
    </r>
    <r>
      <rPr>
        <b/>
        <sz val="8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</si>
  <si>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k</t>
  </si>
  <si>
    <r>
      <t>W</t>
    </r>
    <r>
      <rPr>
        <b/>
        <sz val="8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</si>
  <si>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r>
      <t>W</t>
    </r>
    <r>
      <rPr>
        <b/>
        <sz val="8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[mm]</t>
    </r>
  </si>
  <si>
    <t>Fogaskerékhajtás geometriai méretezése HAT LÉPÉSBEN</t>
  </si>
  <si>
    <t>ADJA MEG A NAGYKERÉK FOGSZÁMÁT Z2, HOGY A FOGSZÁMVISZON, ÉS A GÖRDÜLŐKÖRI KAPCSOLÓSZÖG IS MEGFELELŐ LEGYEN! AMENNYIBEN SZÜKSÉGES, VÁLTOZTASSA Z1-ET, MAJD AW-T ÉS M-ET IS!</t>
  </si>
  <si>
    <t>63,80,100,125,160,200,250,315</t>
  </si>
  <si>
    <t>1, 1.125, 1.25, 1.375, 1.5, 1.75, 2, 2.25, 2.5, 2.75, 3, 3.5, 4, 4.5, 5, 5.5, 6</t>
  </si>
  <si>
    <t>A_W</t>
  </si>
  <si>
    <t>osztókör átmérő</t>
  </si>
  <si>
    <t>gördülőkör sugár</t>
  </si>
  <si>
    <t>alapkör sugár</t>
  </si>
  <si>
    <t>profileltolások összege</t>
  </si>
  <si>
    <t>tengelytávtényező</t>
  </si>
  <si>
    <t>működő fogmagasság</t>
  </si>
  <si>
    <t>profileltolás kicsin</t>
  </si>
  <si>
    <t>profileltolás nagyon</t>
  </si>
  <si>
    <t>fejkörsugár kicsin</t>
  </si>
  <si>
    <t>fejkörsugár nagyon</t>
  </si>
  <si>
    <t>relatív csúszási szám</t>
  </si>
  <si>
    <t>kiskerék lábkörátmérő</t>
  </si>
  <si>
    <t>nagykerék lábkörátmérő</t>
  </si>
  <si>
    <t>osztokóri fogvastagság</t>
  </si>
  <si>
    <t>közrefogott fogakszáma</t>
  </si>
  <si>
    <t>többfogméret kiskeréken</t>
  </si>
  <si>
    <t>többfogméret nagykeréken</t>
  </si>
  <si>
    <t>ha2</t>
  </si>
  <si>
    <t>nagykör fogfejmagasság</t>
  </si>
  <si>
    <t>GGG-600</t>
  </si>
  <si>
    <t>E360</t>
  </si>
  <si>
    <t>31CrMoV9</t>
  </si>
  <si>
    <t>C10E</t>
  </si>
  <si>
    <t>16MnCr5</t>
  </si>
  <si>
    <t>B</t>
  </si>
  <si>
    <t>M</t>
  </si>
  <si>
    <t>D1</t>
  </si>
  <si>
    <t>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</si>
</sst>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000000000"/>
    <numFmt numFmtId="166" formatCode="#,##0\ &quot;Ft&quot;;\-#,##0,&quot; [mm]&quot;"/>
    <numFmt numFmtId="167" formatCode="0.00000000"/>
    <numFmt numFmtId="168" formatCode="0.000"/>
    <numFmt numFmtId="169" formatCode="0.00000"/>
    <numFmt numFmtId="170" formatCode="0.0000000000"/>
    <numFmt numFmtId="171" formatCode="0.0000000"/>
  </numFmts>
  <fonts count="18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UniversalMath1 BT"/>
      <family val="1"/>
      <charset val="2"/>
    </font>
    <font>
      <b/>
      <sz val="10"/>
      <color indexed="10"/>
      <name val="Arial"/>
      <family val="2"/>
      <charset val="238"/>
    </font>
    <font>
      <i/>
      <sz val="10"/>
      <name val="UniversalMath1 BT"/>
      <family val="1"/>
      <charset val="2"/>
    </font>
    <font>
      <i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Calibri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3" fillId="3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vertical="top" wrapText="1"/>
    </xf>
    <xf numFmtId="0" fontId="3" fillId="6" borderId="1" xfId="1" applyFont="1" applyFill="1" applyBorder="1" applyAlignment="1">
      <alignment vertical="top" wrapText="1"/>
    </xf>
    <xf numFmtId="0" fontId="3" fillId="7" borderId="2" xfId="1" applyFont="1" applyFill="1" applyBorder="1" applyAlignment="1">
      <alignment vertical="top" wrapText="1"/>
    </xf>
    <xf numFmtId="0" fontId="3" fillId="8" borderId="1" xfId="1" applyFont="1" applyFill="1" applyBorder="1" applyAlignment="1">
      <alignment vertical="top" wrapText="1"/>
    </xf>
    <xf numFmtId="0" fontId="2" fillId="0" borderId="0" xfId="1" applyFont="1" applyFill="1" applyBorder="1"/>
    <xf numFmtId="0" fontId="1" fillId="0" borderId="0" xfId="1" applyFill="1" applyBorder="1"/>
    <xf numFmtId="0" fontId="4" fillId="0" borderId="0" xfId="1" applyFont="1" applyFill="1" applyBorder="1"/>
    <xf numFmtId="0" fontId="5" fillId="9" borderId="4" xfId="1" applyFont="1" applyFill="1" applyBorder="1"/>
    <xf numFmtId="0" fontId="1" fillId="0" borderId="4" xfId="1" applyFill="1" applyBorder="1"/>
    <xf numFmtId="0" fontId="1" fillId="0" borderId="0" xfId="1" applyBorder="1"/>
    <xf numFmtId="0" fontId="5" fillId="10" borderId="4" xfId="1" applyFont="1" applyFill="1" applyBorder="1"/>
    <xf numFmtId="0" fontId="4" fillId="0" borderId="5" xfId="1" applyFont="1" applyBorder="1"/>
    <xf numFmtId="0" fontId="1" fillId="3" borderId="4" xfId="1" applyFill="1" applyBorder="1"/>
    <xf numFmtId="0" fontId="1" fillId="0" borderId="4" xfId="1" applyBorder="1"/>
    <xf numFmtId="0" fontId="9" fillId="0" borderId="4" xfId="1" applyFont="1" applyBorder="1"/>
    <xf numFmtId="164" fontId="1" fillId="3" borderId="4" xfId="1" applyNumberFormat="1" applyFill="1" applyBorder="1"/>
    <xf numFmtId="0" fontId="5" fillId="0" borderId="4" xfId="1" applyFont="1" applyBorder="1"/>
    <xf numFmtId="0" fontId="4" fillId="0" borderId="5" xfId="1" applyFont="1" applyFill="1" applyBorder="1"/>
    <xf numFmtId="0" fontId="1" fillId="11" borderId="4" xfId="1" applyFill="1" applyBorder="1"/>
    <xf numFmtId="0" fontId="4" fillId="0" borderId="0" xfId="1" applyFont="1" applyBorder="1"/>
    <xf numFmtId="0" fontId="1" fillId="3" borderId="4" xfId="1" applyNumberFormat="1" applyFill="1" applyBorder="1"/>
    <xf numFmtId="0" fontId="9" fillId="10" borderId="4" xfId="1" applyFont="1" applyFill="1" applyBorder="1"/>
    <xf numFmtId="0" fontId="1" fillId="4" borderId="4" xfId="1" applyFill="1" applyBorder="1"/>
    <xf numFmtId="0" fontId="10" fillId="0" borderId="0" xfId="1" applyFont="1" applyBorder="1"/>
    <xf numFmtId="0" fontId="1" fillId="0" borderId="5" xfId="1" applyFont="1" applyFill="1" applyBorder="1"/>
    <xf numFmtId="0" fontId="1" fillId="0" borderId="5" xfId="1" applyBorder="1"/>
    <xf numFmtId="165" fontId="10" fillId="0" borderId="0" xfId="1" applyNumberFormat="1" applyFont="1" applyBorder="1"/>
    <xf numFmtId="166" fontId="1" fillId="0" borderId="0" xfId="1" applyNumberFormat="1" applyBorder="1"/>
    <xf numFmtId="0" fontId="1" fillId="6" borderId="1" xfId="1" applyFill="1" applyBorder="1"/>
    <xf numFmtId="0" fontId="1" fillId="6" borderId="6" xfId="1" applyFill="1" applyBorder="1"/>
    <xf numFmtId="0" fontId="4" fillId="6" borderId="7" xfId="1" applyFont="1" applyFill="1" applyBorder="1"/>
    <xf numFmtId="0" fontId="4" fillId="0" borderId="4" xfId="1" applyFont="1" applyFill="1" applyBorder="1"/>
    <xf numFmtId="167" fontId="1" fillId="0" borderId="4" xfId="1" applyNumberFormat="1" applyBorder="1"/>
    <xf numFmtId="0" fontId="4" fillId="6" borderId="1" xfId="1" applyFont="1" applyFill="1" applyBorder="1"/>
    <xf numFmtId="164" fontId="1" fillId="0" borderId="5" xfId="1" applyNumberFormat="1" applyBorder="1"/>
    <xf numFmtId="0" fontId="4" fillId="7" borderId="8" xfId="1" applyFont="1" applyFill="1" applyBorder="1"/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168" fontId="1" fillId="0" borderId="4" xfId="1" applyNumberFormat="1" applyBorder="1"/>
    <xf numFmtId="0" fontId="1" fillId="12" borderId="4" xfId="1" applyFill="1" applyBorder="1"/>
    <xf numFmtId="2" fontId="1" fillId="0" borderId="4" xfId="1" applyNumberFormat="1" applyBorder="1"/>
    <xf numFmtId="0" fontId="3" fillId="0" borderId="4" xfId="1" applyFont="1" applyBorder="1"/>
    <xf numFmtId="169" fontId="1" fillId="0" borderId="4" xfId="1" applyNumberFormat="1" applyBorder="1"/>
    <xf numFmtId="170" fontId="1" fillId="11" borderId="4" xfId="1" applyNumberFormat="1" applyFill="1" applyBorder="1"/>
    <xf numFmtId="0" fontId="5" fillId="13" borderId="10" xfId="1" applyFont="1" applyFill="1" applyBorder="1" applyAlignment="1"/>
    <xf numFmtId="0" fontId="5" fillId="13" borderId="11" xfId="1" applyFont="1" applyFill="1" applyBorder="1" applyAlignment="1"/>
    <xf numFmtId="0" fontId="5" fillId="13" borderId="0" xfId="1" applyFont="1" applyFill="1" applyBorder="1" applyAlignment="1"/>
    <xf numFmtId="0" fontId="5" fillId="13" borderId="12" xfId="1" applyFont="1" applyFill="1" applyBorder="1" applyAlignment="1"/>
    <xf numFmtId="0" fontId="7" fillId="13" borderId="13" xfId="1" applyFont="1" applyFill="1" applyBorder="1" applyAlignment="1"/>
    <xf numFmtId="0" fontId="7" fillId="13" borderId="14" xfId="1" applyFont="1" applyFill="1" applyBorder="1" applyAlignment="1"/>
    <xf numFmtId="0" fontId="10" fillId="11" borderId="4" xfId="1" applyFont="1" applyFill="1" applyBorder="1" applyAlignment="1">
      <alignment horizontal="center"/>
    </xf>
    <xf numFmtId="169" fontId="10" fillId="11" borderId="4" xfId="1" applyNumberFormat="1" applyFont="1" applyFill="1" applyBorder="1" applyAlignment="1">
      <alignment horizontal="center"/>
    </xf>
    <xf numFmtId="0" fontId="4" fillId="14" borderId="4" xfId="1" applyFont="1" applyFill="1" applyBorder="1"/>
    <xf numFmtId="0" fontId="1" fillId="0" borderId="25" xfId="1" applyBorder="1"/>
    <xf numFmtId="0" fontId="17" fillId="0" borderId="5" xfId="1" applyFont="1" applyBorder="1"/>
    <xf numFmtId="0" fontId="4" fillId="0" borderId="25" xfId="1" applyFont="1" applyBorder="1"/>
    <xf numFmtId="0" fontId="9" fillId="0" borderId="5" xfId="1" applyFont="1" applyBorder="1"/>
    <xf numFmtId="0" fontId="1" fillId="0" borderId="16" xfId="1" applyBorder="1"/>
    <xf numFmtId="0" fontId="0" fillId="0" borderId="16" xfId="0" applyBorder="1"/>
    <xf numFmtId="0" fontId="0" fillId="0" borderId="17" xfId="0" applyBorder="1"/>
    <xf numFmtId="0" fontId="2" fillId="0" borderId="18" xfId="1" applyFont="1" applyFill="1" applyBorder="1"/>
    <xf numFmtId="0" fontId="0" fillId="0" borderId="0" xfId="0" applyBorder="1"/>
    <xf numFmtId="0" fontId="0" fillId="0" borderId="19" xfId="0" applyBorder="1"/>
    <xf numFmtId="0" fontId="5" fillId="9" borderId="28" xfId="1" applyFont="1" applyFill="1" applyBorder="1"/>
    <xf numFmtId="0" fontId="9" fillId="9" borderId="28" xfId="1" applyFont="1" applyFill="1" applyBorder="1"/>
    <xf numFmtId="0" fontId="1" fillId="0" borderId="18" xfId="1" applyBorder="1"/>
    <xf numFmtId="0" fontId="5" fillId="0" borderId="28" xfId="1" applyFont="1" applyBorder="1"/>
    <xf numFmtId="0" fontId="9" fillId="0" borderId="28" xfId="1" applyFont="1" applyBorder="1"/>
    <xf numFmtId="0" fontId="4" fillId="0" borderId="29" xfId="1" applyFont="1" applyBorder="1"/>
    <xf numFmtId="0" fontId="1" fillId="0" borderId="29" xfId="1" applyBorder="1"/>
    <xf numFmtId="0" fontId="3" fillId="0" borderId="28" xfId="1" applyFont="1" applyBorder="1"/>
    <xf numFmtId="0" fontId="5" fillId="0" borderId="31" xfId="1" applyFont="1" applyBorder="1"/>
    <xf numFmtId="0" fontId="1" fillId="0" borderId="32" xfId="1" applyBorder="1"/>
    <xf numFmtId="0" fontId="1" fillId="0" borderId="21" xfId="1" applyBorder="1"/>
    <xf numFmtId="0" fontId="0" fillId="0" borderId="21" xfId="0" applyBorder="1"/>
    <xf numFmtId="0" fontId="0" fillId="0" borderId="22" xfId="0" applyBorder="1"/>
    <xf numFmtId="0" fontId="5" fillId="9" borderId="33" xfId="1" applyFont="1" applyFill="1" applyBorder="1"/>
    <xf numFmtId="0" fontId="1" fillId="0" borderId="34" xfId="1" applyFill="1" applyBorder="1"/>
    <xf numFmtId="0" fontId="1" fillId="0" borderId="35" xfId="1" applyFill="1" applyBorder="1"/>
    <xf numFmtId="0" fontId="1" fillId="0" borderId="36" xfId="1" applyFill="1" applyBorder="1"/>
    <xf numFmtId="0" fontId="5" fillId="10" borderId="28" xfId="1" applyFont="1" applyFill="1" applyBorder="1"/>
    <xf numFmtId="0" fontId="9" fillId="10" borderId="28" xfId="1" applyFont="1" applyFill="1" applyBorder="1"/>
    <xf numFmtId="0" fontId="5" fillId="10" borderId="31" xfId="1" applyFont="1" applyFill="1" applyBorder="1"/>
    <xf numFmtId="0" fontId="4" fillId="0" borderId="32" xfId="1" applyFont="1" applyFill="1" applyBorder="1" applyAlignment="1"/>
    <xf numFmtId="0" fontId="1" fillId="0" borderId="32" xfId="1" applyBorder="1" applyAlignment="1"/>
    <xf numFmtId="0" fontId="5" fillId="0" borderId="32" xfId="1" applyFont="1" applyBorder="1" applyAlignment="1"/>
    <xf numFmtId="0" fontId="1" fillId="0" borderId="37" xfId="1" applyBorder="1" applyAlignment="1"/>
    <xf numFmtId="0" fontId="9" fillId="0" borderId="38" xfId="1" applyFont="1" applyBorder="1"/>
    <xf numFmtId="0" fontId="5" fillId="0" borderId="39" xfId="1" applyFont="1" applyBorder="1"/>
    <xf numFmtId="0" fontId="0" fillId="0" borderId="4" xfId="0" applyBorder="1"/>
    <xf numFmtId="0" fontId="0" fillId="0" borderId="4" xfId="0" applyFill="1" applyBorder="1"/>
    <xf numFmtId="0" fontId="5" fillId="5" borderId="30" xfId="1" applyFont="1" applyFill="1" applyBorder="1" applyAlignment="1"/>
    <xf numFmtId="0" fontId="5" fillId="5" borderId="37" xfId="1" applyFont="1" applyFill="1" applyBorder="1" applyAlignment="1"/>
    <xf numFmtId="0" fontId="8" fillId="0" borderId="40" xfId="1" applyFont="1" applyFill="1" applyBorder="1" applyAlignment="1"/>
    <xf numFmtId="0" fontId="8" fillId="5" borderId="41" xfId="1" applyFont="1" applyFill="1" applyBorder="1" applyAlignment="1"/>
    <xf numFmtId="0" fontId="5" fillId="0" borderId="42" xfId="1" applyFont="1" applyBorder="1"/>
    <xf numFmtId="0" fontId="1" fillId="0" borderId="43" xfId="1" applyBorder="1"/>
    <xf numFmtId="0" fontId="17" fillId="0" borderId="4" xfId="1" applyFont="1" applyBorder="1"/>
    <xf numFmtId="0" fontId="4" fillId="0" borderId="4" xfId="1" applyFont="1" applyBorder="1"/>
    <xf numFmtId="0" fontId="17" fillId="0" borderId="30" xfId="1" applyFont="1" applyBorder="1"/>
    <xf numFmtId="0" fontId="1" fillId="0" borderId="30" xfId="1" applyBorder="1"/>
    <xf numFmtId="2" fontId="0" fillId="0" borderId="0" xfId="0" applyNumberFormat="1"/>
    <xf numFmtId="0" fontId="5" fillId="7" borderId="15" xfId="1" applyFont="1" applyFill="1" applyBorder="1" applyAlignment="1">
      <alignment horizontal="center" vertical="top" wrapText="1"/>
    </xf>
    <xf numFmtId="0" fontId="5" fillId="7" borderId="16" xfId="1" applyFont="1" applyFill="1" applyBorder="1" applyAlignment="1">
      <alignment horizontal="center" vertical="top" wrapText="1"/>
    </xf>
    <xf numFmtId="0" fontId="5" fillId="7" borderId="17" xfId="1" applyFont="1" applyFill="1" applyBorder="1" applyAlignment="1">
      <alignment horizontal="center" vertical="top" wrapText="1"/>
    </xf>
    <xf numFmtId="0" fontId="5" fillId="7" borderId="18" xfId="1" applyFont="1" applyFill="1" applyBorder="1" applyAlignment="1">
      <alignment horizontal="center" vertical="top" wrapText="1"/>
    </xf>
    <xf numFmtId="0" fontId="5" fillId="7" borderId="0" xfId="1" applyFont="1" applyFill="1" applyBorder="1" applyAlignment="1">
      <alignment horizontal="center" vertical="top" wrapText="1"/>
    </xf>
    <xf numFmtId="0" fontId="5" fillId="7" borderId="19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21" xfId="1" applyFont="1" applyFill="1" applyBorder="1" applyAlignment="1">
      <alignment horizontal="center" vertical="top" wrapText="1"/>
    </xf>
    <xf numFmtId="0" fontId="5" fillId="7" borderId="22" xfId="1" applyFont="1" applyFill="1" applyBorder="1" applyAlignment="1">
      <alignment horizontal="center" vertical="top" wrapText="1"/>
    </xf>
    <xf numFmtId="0" fontId="5" fillId="0" borderId="20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center"/>
    </xf>
    <xf numFmtId="0" fontId="5" fillId="0" borderId="22" xfId="1" applyFont="1" applyFill="1" applyBorder="1" applyAlignment="1">
      <alignment horizontal="center"/>
    </xf>
    <xf numFmtId="171" fontId="16" fillId="15" borderId="5" xfId="1" applyNumberFormat="1" applyFont="1" applyFill="1" applyBorder="1" applyAlignment="1">
      <alignment horizontal="center" vertical="center"/>
    </xf>
    <xf numFmtId="171" fontId="16" fillId="15" borderId="24" xfId="1" applyNumberFormat="1" applyFont="1" applyFill="1" applyBorder="1" applyAlignment="1">
      <alignment horizontal="center" vertical="center"/>
    </xf>
    <xf numFmtId="171" fontId="16" fillId="15" borderId="25" xfId="1" applyNumberFormat="1" applyFont="1" applyFill="1" applyBorder="1" applyAlignment="1">
      <alignment horizontal="center" vertical="center"/>
    </xf>
    <xf numFmtId="0" fontId="2" fillId="9" borderId="26" xfId="1" applyFont="1" applyFill="1" applyBorder="1" applyAlignment="1">
      <alignment horizontal="center" wrapText="1"/>
    </xf>
    <xf numFmtId="0" fontId="2" fillId="9" borderId="27" xfId="1" applyFont="1" applyFill="1" applyBorder="1" applyAlignment="1">
      <alignment horizontal="center" wrapText="1"/>
    </xf>
    <xf numFmtId="0" fontId="3" fillId="7" borderId="15" xfId="1" applyFont="1" applyFill="1" applyBorder="1" applyAlignment="1">
      <alignment horizontal="center"/>
    </xf>
    <xf numFmtId="0" fontId="1" fillId="7" borderId="16" xfId="1" applyFill="1" applyBorder="1" applyAlignment="1">
      <alignment horizontal="center"/>
    </xf>
    <xf numFmtId="0" fontId="1" fillId="7" borderId="17" xfId="1" applyFill="1" applyBorder="1" applyAlignment="1">
      <alignment horizontal="center"/>
    </xf>
    <xf numFmtId="0" fontId="5" fillId="16" borderId="20" xfId="1" applyFont="1" applyFill="1" applyBorder="1" applyAlignment="1">
      <alignment horizontal="center"/>
    </xf>
    <xf numFmtId="0" fontId="5" fillId="16" borderId="21" xfId="1" applyFont="1" applyFill="1" applyBorder="1" applyAlignment="1">
      <alignment horizontal="center"/>
    </xf>
    <xf numFmtId="0" fontId="5" fillId="16" borderId="22" xfId="1" applyFont="1" applyFill="1" applyBorder="1" applyAlignment="1">
      <alignment horizontal="center"/>
    </xf>
    <xf numFmtId="0" fontId="3" fillId="7" borderId="16" xfId="1" applyFont="1" applyFill="1" applyBorder="1" applyAlignment="1">
      <alignment horizontal="center"/>
    </xf>
    <xf numFmtId="0" fontId="3" fillId="7" borderId="17" xfId="1" applyFont="1" applyFill="1" applyBorder="1" applyAlignment="1">
      <alignment horizontal="center"/>
    </xf>
    <xf numFmtId="0" fontId="8" fillId="2" borderId="26" xfId="1" applyFont="1" applyFill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13" fillId="13" borderId="9" xfId="1" applyFont="1" applyFill="1" applyBorder="1" applyAlignment="1">
      <alignment horizontal="center" vertical="center" wrapText="1"/>
    </xf>
    <xf numFmtId="0" fontId="13" fillId="13" borderId="3" xfId="1" applyFont="1" applyFill="1" applyBorder="1" applyAlignment="1">
      <alignment horizontal="center" vertical="center" wrapText="1"/>
    </xf>
    <xf numFmtId="0" fontId="13" fillId="13" borderId="2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4">
    <dxf>
      <font>
        <color rgb="FF006100"/>
      </font>
      <fill>
        <patternFill>
          <bgColor rgb="FF92D050"/>
        </patternFill>
      </fill>
    </dxf>
    <dxf>
      <font>
        <color auto="1"/>
      </font>
      <fill>
        <patternFill>
          <bgColor rgb="FFC00000"/>
        </patternFill>
      </fill>
    </dxf>
    <dxf>
      <font>
        <color rgb="FF006100"/>
      </font>
      <fill>
        <patternFill>
          <bgColor rgb="FF92D050"/>
        </patternFill>
      </fill>
    </dxf>
    <dxf>
      <font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4" sqref="C4"/>
    </sheetView>
  </sheetViews>
  <sheetFormatPr defaultRowHeight="15"/>
  <sheetData>
    <row r="1" spans="1:3">
      <c r="A1" t="s">
        <v>0</v>
      </c>
    </row>
    <row r="2" spans="1:3">
      <c r="B2" t="s">
        <v>161</v>
      </c>
      <c r="C2">
        <f>Fogaskerek_Szamitas!C27</f>
        <v>2</v>
      </c>
    </row>
    <row r="3" spans="1:3">
      <c r="B3" t="s">
        <v>1</v>
      </c>
      <c r="C3">
        <f>Fogaskerek_Szamitas!B10</f>
        <v>25</v>
      </c>
    </row>
    <row r="4" spans="1:3">
      <c r="B4" t="s">
        <v>2</v>
      </c>
      <c r="C4">
        <f>Fogaskerek_Szamitas!C28</f>
        <v>71</v>
      </c>
    </row>
    <row r="5" spans="1:3">
      <c r="B5" t="s">
        <v>162</v>
      </c>
      <c r="C5" s="104">
        <f>Fogaskerek_Szamitas!B32</f>
        <v>50</v>
      </c>
    </row>
    <row r="6" spans="1:3">
      <c r="B6" t="s">
        <v>163</v>
      </c>
      <c r="C6" s="104">
        <f>Fogaskerek_Szamitas!B33</f>
        <v>142</v>
      </c>
    </row>
    <row r="7" spans="1:3">
      <c r="B7" t="s">
        <v>3</v>
      </c>
      <c r="C7">
        <f>Fogaskerek_Szamitas!D34</f>
        <v>52.083333333333336</v>
      </c>
    </row>
    <row r="8" spans="1:3">
      <c r="B8" t="s">
        <v>4</v>
      </c>
      <c r="C8">
        <f>Fogaskerek_Szamitas!D35</f>
        <v>147.91666666666666</v>
      </c>
    </row>
    <row r="9" spans="1:3">
      <c r="B9" t="s">
        <v>5</v>
      </c>
      <c r="C9">
        <f>Fogaskerek_Szamitas!D36</f>
        <v>46.984631039295422</v>
      </c>
    </row>
    <row r="10" spans="1:3">
      <c r="B10" t="s">
        <v>6</v>
      </c>
      <c r="C10">
        <f>Fogaskerek_Szamitas!D37</f>
        <v>133.43635215159898</v>
      </c>
    </row>
    <row r="11" spans="1:3">
      <c r="B11" t="s">
        <v>7</v>
      </c>
      <c r="C11">
        <f>Fogaskerek_Szamitas!B53</f>
        <v>48.144838086836984</v>
      </c>
    </row>
    <row r="12" spans="1:3">
      <c r="B12" t="s">
        <v>8</v>
      </c>
      <c r="C12">
        <f>Fogaskerek_Szamitas!B54</f>
        <v>142.96349772950077</v>
      </c>
    </row>
    <row r="13" spans="1:3">
      <c r="B13" t="s">
        <v>9</v>
      </c>
      <c r="C13">
        <f>Fogaskerek_Szamitas!D45</f>
        <v>56.036502270499241</v>
      </c>
    </row>
    <row r="14" spans="1:3">
      <c r="B14" t="s">
        <v>10</v>
      </c>
      <c r="C14">
        <f>Fogaskerek_Szamitas!D46</f>
        <v>150.85516191316304</v>
      </c>
    </row>
    <row r="15" spans="1:3">
      <c r="B15" t="s">
        <v>11</v>
      </c>
      <c r="C15">
        <f>Fogaskerek_Szamitas!B31</f>
        <v>25.563856587376637</v>
      </c>
    </row>
    <row r="16" spans="1:3">
      <c r="B16" t="s">
        <v>135</v>
      </c>
      <c r="C16">
        <f>Fogaskerek_Szamitas!C22</f>
        <v>100</v>
      </c>
    </row>
    <row r="17" spans="2:3">
      <c r="B17" t="s">
        <v>160</v>
      </c>
      <c r="C17">
        <f>Fogaskerek_Szamitas!C24</f>
        <v>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topLeftCell="D40" workbookViewId="0">
      <selection activeCell="E52" sqref="E52:H52"/>
    </sheetView>
  </sheetViews>
  <sheetFormatPr defaultRowHeight="15"/>
  <cols>
    <col min="1" max="1" width="10.140625" customWidth="1"/>
    <col min="2" max="2" width="14.5703125" customWidth="1"/>
    <col min="3" max="3" width="25.5703125" customWidth="1"/>
    <col min="4" max="4" width="11.7109375" customWidth="1"/>
    <col min="5" max="5" width="12.42578125" customWidth="1"/>
    <col min="6" max="6" width="17.28515625" customWidth="1"/>
    <col min="7" max="7" width="24.42578125" customWidth="1"/>
    <col min="8" max="8" width="32.85546875" customWidth="1"/>
    <col min="9" max="9" width="12" customWidth="1"/>
    <col min="11" max="12" width="9.140625" customWidth="1"/>
    <col min="16" max="16" width="14.85546875" customWidth="1"/>
  </cols>
  <sheetData>
    <row r="1" spans="1:16" ht="64.5" thickBot="1">
      <c r="A1" s="120" t="s">
        <v>131</v>
      </c>
      <c r="B1" s="121"/>
      <c r="C1" s="121"/>
      <c r="D1" s="1" t="s">
        <v>12</v>
      </c>
      <c r="E1" s="2" t="s">
        <v>13</v>
      </c>
      <c r="F1" s="3" t="s">
        <v>14</v>
      </c>
      <c r="G1" s="4" t="s">
        <v>15</v>
      </c>
      <c r="H1" s="5" t="s">
        <v>16</v>
      </c>
      <c r="I1" s="6" t="s">
        <v>17</v>
      </c>
      <c r="J1" s="60"/>
      <c r="K1" s="60"/>
      <c r="L1" s="61"/>
      <c r="M1" s="61"/>
      <c r="N1" s="61"/>
      <c r="O1" s="61"/>
      <c r="P1" s="62"/>
    </row>
    <row r="2" spans="1:16" ht="16.5" thickBot="1">
      <c r="A2" s="63"/>
      <c r="B2" s="7"/>
      <c r="C2" s="7"/>
      <c r="D2" s="8"/>
      <c r="E2" s="8"/>
      <c r="F2" s="8"/>
      <c r="G2" s="8"/>
      <c r="H2" s="8"/>
      <c r="I2" s="9"/>
      <c r="J2" s="64"/>
      <c r="K2" s="64"/>
      <c r="L2" s="64"/>
      <c r="M2" s="64"/>
      <c r="N2" s="64"/>
      <c r="O2" s="64"/>
      <c r="P2" s="65"/>
    </row>
    <row r="3" spans="1:16" ht="15.75" thickBot="1">
      <c r="A3" s="66" t="s">
        <v>19</v>
      </c>
      <c r="B3" s="11"/>
      <c r="C3" s="12"/>
      <c r="D3" s="12"/>
      <c r="E3" s="130" t="s">
        <v>22</v>
      </c>
      <c r="F3" s="131"/>
      <c r="G3" s="12"/>
      <c r="H3" s="12"/>
      <c r="I3" s="12"/>
      <c r="J3" s="64"/>
      <c r="K3" s="64"/>
      <c r="L3" s="64"/>
      <c r="M3" s="64"/>
      <c r="N3" s="64"/>
      <c r="O3" s="64"/>
      <c r="P3" s="65"/>
    </row>
    <row r="4" spans="1:16">
      <c r="A4" s="66" t="s">
        <v>20</v>
      </c>
      <c r="B4" s="15">
        <v>1.1000000000000001</v>
      </c>
      <c r="C4" s="12"/>
      <c r="D4" s="12"/>
      <c r="E4" s="96"/>
      <c r="F4" s="97" t="s">
        <v>26</v>
      </c>
      <c r="G4" s="12"/>
      <c r="H4" s="12"/>
      <c r="I4" s="16" t="s">
        <v>155</v>
      </c>
      <c r="J4" s="92" t="s">
        <v>156</v>
      </c>
      <c r="K4" s="92" t="s">
        <v>26</v>
      </c>
      <c r="L4" s="92" t="s">
        <v>157</v>
      </c>
      <c r="M4" s="93" t="s">
        <v>158</v>
      </c>
      <c r="N4" s="93" t="s">
        <v>159</v>
      </c>
      <c r="O4" s="64"/>
      <c r="P4" s="65"/>
    </row>
    <row r="5" spans="1:16" ht="15.75">
      <c r="A5" s="66" t="s">
        <v>23</v>
      </c>
      <c r="B5" s="15">
        <v>950</v>
      </c>
      <c r="C5" s="12"/>
      <c r="D5" s="12"/>
      <c r="E5" s="90" t="s">
        <v>25</v>
      </c>
      <c r="F5" s="94">
        <v>250</v>
      </c>
      <c r="G5" s="12"/>
      <c r="H5" s="12"/>
      <c r="I5" s="16">
        <v>165</v>
      </c>
      <c r="J5" s="92">
        <v>200</v>
      </c>
      <c r="K5" s="92">
        <v>250</v>
      </c>
      <c r="L5" s="92">
        <v>280</v>
      </c>
      <c r="M5" s="93">
        <v>225</v>
      </c>
      <c r="N5" s="93">
        <v>310</v>
      </c>
      <c r="O5" s="64"/>
      <c r="P5" s="65"/>
    </row>
    <row r="6" spans="1:16" ht="15.75" thickBot="1">
      <c r="A6" s="66" t="s">
        <v>27</v>
      </c>
      <c r="B6" s="18">
        <v>1.2</v>
      </c>
      <c r="C6" s="12"/>
      <c r="D6" s="12"/>
      <c r="E6" s="91" t="s">
        <v>29</v>
      </c>
      <c r="F6" s="95">
        <v>3.2</v>
      </c>
      <c r="G6" s="12"/>
      <c r="H6" s="12"/>
      <c r="I6" s="16">
        <v>3.33</v>
      </c>
      <c r="J6" s="92">
        <v>2.7</v>
      </c>
      <c r="K6" s="92">
        <v>3.2</v>
      </c>
      <c r="L6" s="92">
        <v>16.739999999999998</v>
      </c>
      <c r="M6" s="93">
        <v>13.35</v>
      </c>
      <c r="N6" s="93">
        <v>22.56</v>
      </c>
      <c r="O6" s="64"/>
      <c r="P6" s="65"/>
    </row>
    <row r="7" spans="1:16">
      <c r="A7" s="66" t="s">
        <v>30</v>
      </c>
      <c r="B7" s="21">
        <v>1.4</v>
      </c>
      <c r="C7" s="22" t="s">
        <v>32</v>
      </c>
      <c r="D7" s="12"/>
      <c r="E7" s="22" t="s">
        <v>33</v>
      </c>
      <c r="F7" s="12"/>
      <c r="G7" s="12"/>
      <c r="H7" s="12"/>
      <c r="I7" s="12"/>
      <c r="J7" s="64"/>
      <c r="K7" s="64"/>
      <c r="L7" s="64"/>
      <c r="M7" s="64"/>
      <c r="N7" s="64"/>
      <c r="O7" s="64"/>
      <c r="P7" s="65"/>
    </row>
    <row r="8" spans="1:16">
      <c r="A8" s="66" t="s">
        <v>34</v>
      </c>
      <c r="B8" s="23">
        <v>2.8</v>
      </c>
      <c r="C8" s="12"/>
      <c r="D8" s="12"/>
      <c r="E8" s="12"/>
      <c r="F8" s="12"/>
      <c r="G8" s="12"/>
      <c r="H8" s="12"/>
      <c r="I8" s="12"/>
      <c r="J8" s="64"/>
      <c r="K8" s="64"/>
      <c r="L8" s="64"/>
      <c r="M8" s="64"/>
      <c r="N8" s="64"/>
      <c r="O8" s="64"/>
      <c r="P8" s="65"/>
    </row>
    <row r="9" spans="1:16" ht="15.75">
      <c r="A9" s="67" t="s">
        <v>36</v>
      </c>
      <c r="B9" s="21">
        <v>100</v>
      </c>
      <c r="C9" s="22"/>
      <c r="D9" s="12"/>
      <c r="E9" s="12"/>
      <c r="F9" s="12"/>
      <c r="G9" s="12"/>
      <c r="H9" s="12"/>
      <c r="I9" s="12"/>
      <c r="J9" s="64"/>
      <c r="K9" s="64"/>
      <c r="L9" s="64"/>
      <c r="M9" s="64"/>
      <c r="N9" s="64"/>
      <c r="O9" s="64"/>
      <c r="P9" s="65"/>
    </row>
    <row r="10" spans="1:16">
      <c r="A10" s="66" t="s">
        <v>38</v>
      </c>
      <c r="B10" s="25">
        <v>25</v>
      </c>
      <c r="C10" s="22" t="s">
        <v>40</v>
      </c>
      <c r="D10" s="12"/>
      <c r="E10" s="12"/>
      <c r="F10" s="12"/>
      <c r="G10" s="26"/>
      <c r="H10" s="12"/>
      <c r="I10" s="12"/>
      <c r="J10" s="64"/>
      <c r="K10" s="64"/>
      <c r="L10" s="64"/>
      <c r="M10" s="64"/>
      <c r="N10" s="64"/>
      <c r="O10" s="64"/>
      <c r="P10" s="65"/>
    </row>
    <row r="11" spans="1:16" ht="15.75">
      <c r="A11" s="67" t="s">
        <v>41</v>
      </c>
      <c r="B11" s="21">
        <v>20</v>
      </c>
      <c r="C11" s="12"/>
      <c r="D11" s="12"/>
      <c r="E11" s="12"/>
      <c r="F11" s="12"/>
      <c r="G11" s="12"/>
      <c r="H11" s="12"/>
      <c r="I11" s="12"/>
      <c r="J11" s="64"/>
      <c r="K11" s="64"/>
      <c r="L11" s="64"/>
      <c r="M11" s="64"/>
      <c r="N11" s="64"/>
      <c r="O11" s="64"/>
      <c r="P11" s="65"/>
    </row>
    <row r="12" spans="1:16" ht="15.75">
      <c r="A12" s="67" t="s">
        <v>43</v>
      </c>
      <c r="B12" s="21">
        <v>25</v>
      </c>
      <c r="C12" s="22" t="s">
        <v>45</v>
      </c>
      <c r="D12" s="12"/>
      <c r="E12" s="12"/>
      <c r="F12" s="12"/>
      <c r="G12" s="26"/>
      <c r="H12" s="12"/>
      <c r="I12" s="12"/>
      <c r="J12" s="64"/>
      <c r="K12" s="64"/>
      <c r="L12" s="64"/>
      <c r="M12" s="64"/>
      <c r="N12" s="64"/>
      <c r="O12" s="64"/>
      <c r="P12" s="65"/>
    </row>
    <row r="13" spans="1:16" ht="15.75">
      <c r="A13" s="67" t="s">
        <v>46</v>
      </c>
      <c r="B13" s="21">
        <v>1</v>
      </c>
      <c r="C13" s="22" t="s">
        <v>48</v>
      </c>
      <c r="D13" s="12"/>
      <c r="E13" s="12"/>
      <c r="F13" s="12"/>
      <c r="G13" s="12"/>
      <c r="H13" s="12"/>
      <c r="I13" s="22"/>
      <c r="J13" s="64"/>
      <c r="K13" s="64"/>
      <c r="L13" s="64"/>
      <c r="M13" s="64"/>
      <c r="N13" s="64"/>
      <c r="O13" s="64"/>
      <c r="P13" s="65"/>
    </row>
    <row r="14" spans="1:16">
      <c r="A14" s="66" t="s">
        <v>49</v>
      </c>
      <c r="B14" s="21">
        <v>2.5</v>
      </c>
      <c r="C14" s="12"/>
      <c r="D14" s="12"/>
      <c r="E14" s="12"/>
      <c r="F14" s="12"/>
      <c r="G14" s="12"/>
      <c r="H14" s="12"/>
      <c r="I14" s="12"/>
      <c r="J14" s="64"/>
      <c r="K14" s="64"/>
      <c r="L14" s="64"/>
      <c r="M14" s="64"/>
      <c r="N14" s="64"/>
      <c r="O14" s="64"/>
      <c r="P14" s="65"/>
    </row>
    <row r="15" spans="1:16">
      <c r="A15" s="66" t="s">
        <v>51</v>
      </c>
      <c r="B15" s="21">
        <v>0.25</v>
      </c>
      <c r="C15" s="12"/>
      <c r="D15" s="12"/>
      <c r="E15" s="12"/>
      <c r="F15" s="12"/>
      <c r="G15" s="12"/>
      <c r="H15" s="12"/>
      <c r="I15" s="12"/>
      <c r="J15" s="64"/>
      <c r="K15" s="64"/>
      <c r="L15" s="64"/>
      <c r="M15" s="64"/>
      <c r="N15" s="64"/>
      <c r="O15" s="64"/>
      <c r="P15" s="65"/>
    </row>
    <row r="16" spans="1:16">
      <c r="A16" s="68"/>
      <c r="B16" s="12"/>
      <c r="C16" s="12"/>
      <c r="D16" s="12"/>
      <c r="E16" s="12"/>
      <c r="F16" s="12"/>
      <c r="G16" s="12"/>
      <c r="H16" s="12"/>
      <c r="I16" s="12"/>
      <c r="J16" s="64"/>
      <c r="K16" s="64"/>
      <c r="L16" s="64"/>
      <c r="M16" s="64"/>
      <c r="N16" s="64"/>
      <c r="O16" s="64"/>
      <c r="P16" s="65"/>
    </row>
    <row r="17" spans="1:16">
      <c r="A17" s="10" t="s">
        <v>55</v>
      </c>
      <c r="B17" s="16"/>
      <c r="C17" s="12"/>
      <c r="D17" s="12"/>
      <c r="E17" s="12"/>
      <c r="F17" s="12"/>
      <c r="G17" s="12"/>
      <c r="H17" s="12"/>
      <c r="I17" s="12"/>
      <c r="J17" s="64"/>
      <c r="K17" s="64"/>
      <c r="L17" s="64"/>
      <c r="M17" s="64"/>
      <c r="N17" s="64"/>
      <c r="O17" s="64"/>
      <c r="P17" s="65"/>
    </row>
    <row r="18" spans="1:16">
      <c r="A18" s="69" t="s">
        <v>56</v>
      </c>
      <c r="B18" s="16">
        <f>B5/B7</f>
        <v>678.57142857142867</v>
      </c>
      <c r="C18" s="12">
        <f>B18/60</f>
        <v>11.309523809523812</v>
      </c>
      <c r="D18" s="12"/>
      <c r="E18" s="12"/>
      <c r="F18" s="12"/>
      <c r="G18" s="12"/>
      <c r="H18" s="12"/>
      <c r="I18" s="12"/>
      <c r="J18" s="64"/>
      <c r="K18" s="64"/>
      <c r="L18" s="64"/>
      <c r="M18" s="64"/>
      <c r="N18" s="64"/>
      <c r="O18" s="64"/>
      <c r="P18" s="65"/>
    </row>
    <row r="19" spans="1:16" ht="15.75" thickBot="1">
      <c r="A19" s="69" t="s">
        <v>58</v>
      </c>
      <c r="B19" s="16">
        <f>(B4*1000)*(B9/100)</f>
        <v>1100</v>
      </c>
      <c r="C19" s="8"/>
      <c r="D19" s="12"/>
      <c r="E19" s="12"/>
      <c r="F19" s="29"/>
      <c r="G19" s="12"/>
      <c r="H19" s="12"/>
      <c r="I19" s="30"/>
      <c r="J19" s="64"/>
      <c r="K19" s="64"/>
      <c r="L19" s="64"/>
      <c r="M19" s="64"/>
      <c r="N19" s="64"/>
      <c r="O19" s="64"/>
      <c r="P19" s="65"/>
    </row>
    <row r="20" spans="1:16" ht="16.5" thickBot="1">
      <c r="A20" s="70" t="s">
        <v>60</v>
      </c>
      <c r="B20" s="16">
        <f>F5*0.3</f>
        <v>75</v>
      </c>
      <c r="C20" s="31" t="s">
        <v>62</v>
      </c>
      <c r="D20" s="12"/>
      <c r="E20" s="12"/>
      <c r="F20" s="12"/>
      <c r="G20" s="12"/>
      <c r="H20" s="12"/>
      <c r="I20" s="12"/>
      <c r="J20" s="64"/>
      <c r="K20" s="64"/>
      <c r="L20" s="64"/>
      <c r="M20" s="64"/>
      <c r="N20" s="64"/>
      <c r="O20" s="64"/>
      <c r="P20" s="65"/>
    </row>
    <row r="21" spans="1:16">
      <c r="A21" s="69" t="s">
        <v>63</v>
      </c>
      <c r="B21" s="28">
        <f>0.4*F6</f>
        <v>1.2800000000000002</v>
      </c>
      <c r="C21" s="32" t="s">
        <v>65</v>
      </c>
      <c r="D21" s="12"/>
      <c r="E21" s="12" t="s">
        <v>66</v>
      </c>
      <c r="F21" s="12"/>
      <c r="G21" s="12"/>
      <c r="H21" s="12"/>
      <c r="I21" s="12"/>
      <c r="J21" s="64"/>
      <c r="K21" s="64"/>
      <c r="L21" s="64"/>
      <c r="M21" s="64"/>
      <c r="N21" s="64"/>
      <c r="O21" s="64"/>
      <c r="P21" s="65"/>
    </row>
    <row r="22" spans="1:16" ht="15.75" thickBot="1">
      <c r="A22" s="69" t="s">
        <v>67</v>
      </c>
      <c r="B22" s="28">
        <f>(B19*B6*(1+B8)^4/(4*PI()*B18/60*B13*SIN(RADIANS(2*B12))*B8*B21*10^6))^(1/3)*1000</f>
        <v>89.017909065901009</v>
      </c>
      <c r="C22" s="33">
        <v>100</v>
      </c>
      <c r="D22" s="12"/>
      <c r="E22" s="12" t="s">
        <v>133</v>
      </c>
      <c r="F22" s="12"/>
      <c r="G22" s="12"/>
      <c r="H22" s="12"/>
      <c r="I22" s="12"/>
      <c r="J22" s="64"/>
      <c r="K22" s="64"/>
      <c r="L22" s="64"/>
      <c r="M22" s="64"/>
      <c r="N22" s="64"/>
      <c r="O22" s="64"/>
      <c r="P22" s="65"/>
    </row>
    <row r="23" spans="1:16">
      <c r="A23" s="69" t="s">
        <v>69</v>
      </c>
      <c r="B23" s="16">
        <f>2*C22/(B8+1)</f>
        <v>52.631578947368425</v>
      </c>
      <c r="C23" s="12"/>
      <c r="D23" s="12"/>
      <c r="E23" s="12"/>
      <c r="F23" s="12"/>
      <c r="G23" s="12"/>
      <c r="H23" s="12"/>
      <c r="I23" s="12"/>
      <c r="J23" s="64"/>
      <c r="K23" s="64"/>
      <c r="L23" s="64"/>
      <c r="M23" s="64"/>
      <c r="N23" s="64"/>
      <c r="O23" s="64"/>
      <c r="P23" s="65"/>
    </row>
    <row r="24" spans="1:16">
      <c r="A24" s="69" t="s">
        <v>71</v>
      </c>
      <c r="B24" s="16">
        <f>B13*B23</f>
        <v>52.631578947368425</v>
      </c>
      <c r="C24" s="34">
        <f>ROUNDUP(B24,0)</f>
        <v>53</v>
      </c>
      <c r="D24" s="12"/>
      <c r="E24" s="12" t="s">
        <v>73</v>
      </c>
      <c r="F24" s="12"/>
      <c r="G24" s="12"/>
      <c r="H24" s="12"/>
      <c r="I24" s="12"/>
      <c r="J24" s="64"/>
      <c r="K24" s="64"/>
      <c r="L24" s="64"/>
      <c r="M24" s="64"/>
      <c r="N24" s="64"/>
      <c r="O24" s="64"/>
      <c r="P24" s="65"/>
    </row>
    <row r="25" spans="1:16" ht="15.75" thickBot="1">
      <c r="A25" s="69" t="s">
        <v>74</v>
      </c>
      <c r="B25" s="35">
        <f>(B19*B6/(C24*B23*PI()*B18/60*COS(RADIANS(B12))))*(B14/B20)*1000</f>
        <v>0.48984705844174553</v>
      </c>
      <c r="C25" s="12"/>
      <c r="D25" s="12"/>
      <c r="E25" s="12" t="s">
        <v>134</v>
      </c>
      <c r="F25" s="12"/>
      <c r="G25" s="12"/>
      <c r="H25" s="12"/>
      <c r="I25" s="12"/>
      <c r="J25" s="64"/>
      <c r="K25" s="64"/>
      <c r="L25" s="64"/>
      <c r="M25" s="64"/>
      <c r="N25" s="64"/>
      <c r="O25" s="64"/>
      <c r="P25" s="65"/>
    </row>
    <row r="26" spans="1:16" ht="15.75" customHeight="1" thickBot="1">
      <c r="A26" s="69" t="s">
        <v>76</v>
      </c>
      <c r="B26" s="28">
        <f>C22*(COS(RADIANS(B12))/COS(RADIANS(B11)))</f>
        <v>96.447260198623539</v>
      </c>
      <c r="C26" s="36" t="s">
        <v>78</v>
      </c>
      <c r="D26" s="12"/>
      <c r="E26" s="105" t="s">
        <v>132</v>
      </c>
      <c r="F26" s="106"/>
      <c r="G26" s="106"/>
      <c r="H26" s="107"/>
      <c r="I26" s="12"/>
      <c r="J26" s="64"/>
      <c r="K26" s="64"/>
      <c r="L26" s="64"/>
      <c r="M26" s="64"/>
      <c r="N26" s="64"/>
      <c r="O26" s="64"/>
      <c r="P26" s="65"/>
    </row>
    <row r="27" spans="1:16" ht="15.75" customHeight="1" thickBot="1">
      <c r="A27" s="69" t="s">
        <v>79</v>
      </c>
      <c r="B27" s="28">
        <f>2*B26/(B10*(1+B8))</f>
        <v>2.0304686357604957</v>
      </c>
      <c r="C27" s="36">
        <v>2</v>
      </c>
      <c r="D27" s="12"/>
      <c r="E27" s="108"/>
      <c r="F27" s="109"/>
      <c r="G27" s="109"/>
      <c r="H27" s="110"/>
      <c r="I27" s="12"/>
      <c r="J27" s="64"/>
      <c r="K27" s="64"/>
      <c r="L27" s="64"/>
      <c r="M27" s="64"/>
      <c r="N27" s="64"/>
      <c r="O27" s="64"/>
      <c r="P27" s="65"/>
    </row>
    <row r="28" spans="1:16" ht="15.75" thickBot="1">
      <c r="A28" s="69" t="s">
        <v>81</v>
      </c>
      <c r="B28" s="37">
        <f>B8*B10</f>
        <v>70</v>
      </c>
      <c r="C28" s="38">
        <v>71</v>
      </c>
      <c r="D28" s="12"/>
      <c r="E28" s="111"/>
      <c r="F28" s="112"/>
      <c r="G28" s="112"/>
      <c r="H28" s="113"/>
      <c r="I28" s="12"/>
      <c r="J28" s="64"/>
      <c r="K28" s="64"/>
      <c r="L28" s="64"/>
      <c r="M28" s="64"/>
      <c r="N28" s="64"/>
      <c r="O28" s="64"/>
      <c r="P28" s="65"/>
    </row>
    <row r="29" spans="1:16">
      <c r="A29" s="69" t="s">
        <v>83</v>
      </c>
      <c r="B29" s="16">
        <f>C28/B10</f>
        <v>2.84</v>
      </c>
      <c r="C29" s="39" t="b">
        <f>IF((B29/B8)&gt; (1-0.03),TRUE,FALSE)</f>
        <v>1</v>
      </c>
      <c r="D29" s="40" t="b">
        <f>IF((B29/B8)&gt; (1+0.03),FALSE,TRUE)</f>
        <v>1</v>
      </c>
      <c r="E29" s="122" t="s">
        <v>85</v>
      </c>
      <c r="F29" s="123"/>
      <c r="G29" s="123"/>
      <c r="H29" s="124"/>
      <c r="I29" s="8"/>
      <c r="J29" s="64"/>
      <c r="K29" s="64"/>
      <c r="L29" s="64"/>
      <c r="M29" s="64"/>
      <c r="N29" s="64"/>
      <c r="O29" s="64"/>
      <c r="P29" s="65"/>
    </row>
    <row r="30" spans="1:16" ht="15.75" thickBot="1">
      <c r="A30" s="69" t="s">
        <v>86</v>
      </c>
      <c r="B30" s="41">
        <f>C27*(B10+C28)/2</f>
        <v>96</v>
      </c>
      <c r="C30" s="12"/>
      <c r="D30" s="12"/>
      <c r="E30" s="125" t="str">
        <f>IF(C29*D29=1,"Megfelelő a fogszámviszony +-3 % eltérésen belül van!","NEM JÓ!")</f>
        <v>Megfelelő a fogszámviszony +-3 % eltérésen belül van!</v>
      </c>
      <c r="F30" s="126"/>
      <c r="G30" s="126"/>
      <c r="H30" s="127"/>
      <c r="I30" s="12"/>
      <c r="J30" s="64"/>
      <c r="K30" s="64"/>
      <c r="L30" s="64"/>
      <c r="M30" s="64"/>
      <c r="N30" s="64"/>
      <c r="O30" s="64"/>
      <c r="P30" s="65"/>
    </row>
    <row r="31" spans="1:16" ht="15.75">
      <c r="A31" s="70" t="s">
        <v>43</v>
      </c>
      <c r="B31" s="42">
        <f>ACOS(B30/C22*COS(RADIANS(B11)))*180/PI()</f>
        <v>25.563856587376637</v>
      </c>
      <c r="C31" s="16" t="b">
        <f>IF(B31&gt;23,TRUE,FALSE)</f>
        <v>1</v>
      </c>
      <c r="D31" s="28" t="b">
        <f>IF(B31&lt;26,TRUE,FALSE)</f>
        <v>1</v>
      </c>
      <c r="E31" s="122" t="s">
        <v>90</v>
      </c>
      <c r="F31" s="128"/>
      <c r="G31" s="128"/>
      <c r="H31" s="129"/>
      <c r="I31" s="12"/>
      <c r="J31" s="79" t="s">
        <v>18</v>
      </c>
      <c r="K31" s="80"/>
      <c r="L31" s="81"/>
      <c r="M31" s="81"/>
      <c r="N31" s="81"/>
      <c r="O31" s="81"/>
      <c r="P31" s="82"/>
    </row>
    <row r="32" spans="1:16" ht="15.75" thickBot="1">
      <c r="A32" s="69" t="s">
        <v>91</v>
      </c>
      <c r="B32" s="43">
        <f>C27*B10</f>
        <v>50</v>
      </c>
      <c r="C32" s="12"/>
      <c r="D32" s="12"/>
      <c r="E32" s="114" t="str">
        <f>IF(C31=D31,"Megfelel a szög!","Nem jó a szög!")</f>
        <v>Megfelel a szög!</v>
      </c>
      <c r="F32" s="115"/>
      <c r="G32" s="115"/>
      <c r="H32" s="116"/>
      <c r="I32" s="12"/>
      <c r="J32" s="83" t="s">
        <v>20</v>
      </c>
      <c r="K32" s="14" t="s">
        <v>21</v>
      </c>
      <c r="L32" s="56"/>
      <c r="M32" s="19"/>
      <c r="N32" s="13" t="s">
        <v>91</v>
      </c>
      <c r="O32" s="14" t="s">
        <v>136</v>
      </c>
      <c r="P32" s="71"/>
    </row>
    <row r="33" spans="1:16">
      <c r="A33" s="69" t="s">
        <v>92</v>
      </c>
      <c r="B33" s="43">
        <f>C27*C28</f>
        <v>142</v>
      </c>
      <c r="C33" s="12"/>
      <c r="D33" s="12"/>
      <c r="E33" s="12"/>
      <c r="F33" s="12"/>
      <c r="G33" s="12"/>
      <c r="H33" s="12"/>
      <c r="I33" s="12"/>
      <c r="J33" s="83" t="s">
        <v>23</v>
      </c>
      <c r="K33" s="14" t="s">
        <v>24</v>
      </c>
      <c r="L33" s="56"/>
      <c r="M33" s="19"/>
      <c r="N33" s="13" t="s">
        <v>92</v>
      </c>
      <c r="O33" s="14" t="s">
        <v>136</v>
      </c>
      <c r="P33" s="71"/>
    </row>
    <row r="34" spans="1:16" ht="15.75">
      <c r="A34" s="69" t="s">
        <v>93</v>
      </c>
      <c r="B34" s="16">
        <f>C22/(B29+1)</f>
        <v>26.041666666666668</v>
      </c>
      <c r="C34" s="19" t="s">
        <v>94</v>
      </c>
      <c r="D34" s="16">
        <f>$B34*2</f>
        <v>52.083333333333336</v>
      </c>
      <c r="E34" s="12"/>
      <c r="F34" s="12"/>
      <c r="G34" s="12"/>
      <c r="H34" s="12"/>
      <c r="I34" s="12"/>
      <c r="J34" s="83" t="s">
        <v>27</v>
      </c>
      <c r="K34" s="14" t="s">
        <v>28</v>
      </c>
      <c r="L34" s="56"/>
      <c r="M34" s="17"/>
      <c r="N34" s="13" t="s">
        <v>93</v>
      </c>
      <c r="O34" s="14" t="s">
        <v>137</v>
      </c>
      <c r="P34" s="72"/>
    </row>
    <row r="35" spans="1:16">
      <c r="A35" s="69" t="s">
        <v>95</v>
      </c>
      <c r="B35" s="16">
        <f>C22-B34</f>
        <v>73.958333333333329</v>
      </c>
      <c r="C35" s="19" t="s">
        <v>96</v>
      </c>
      <c r="D35" s="16">
        <f>$B35*2</f>
        <v>147.91666666666666</v>
      </c>
      <c r="E35" s="12"/>
      <c r="F35" s="12"/>
      <c r="G35" s="12"/>
      <c r="H35" s="12"/>
      <c r="I35" s="12"/>
      <c r="J35" s="83" t="s">
        <v>30</v>
      </c>
      <c r="K35" s="20" t="s">
        <v>31</v>
      </c>
      <c r="L35" s="56"/>
      <c r="M35" s="19"/>
      <c r="N35" s="13" t="s">
        <v>95</v>
      </c>
      <c r="O35" s="14" t="s">
        <v>137</v>
      </c>
      <c r="P35" s="72"/>
    </row>
    <row r="36" spans="1:16">
      <c r="A36" s="69" t="s">
        <v>97</v>
      </c>
      <c r="B36" s="16">
        <f>B34*COS(RADIANS(B31))</f>
        <v>23.492315519647711</v>
      </c>
      <c r="C36" s="19" t="s">
        <v>98</v>
      </c>
      <c r="D36" s="16">
        <f>$B36*2</f>
        <v>46.984631039295422</v>
      </c>
      <c r="E36" s="12"/>
      <c r="F36" s="12"/>
      <c r="G36" s="12"/>
      <c r="H36" s="12"/>
      <c r="I36" s="12"/>
      <c r="J36" s="83" t="s">
        <v>34</v>
      </c>
      <c r="K36" s="20" t="s">
        <v>35</v>
      </c>
      <c r="L36" s="56"/>
      <c r="M36" s="19"/>
      <c r="N36" s="13" t="s">
        <v>97</v>
      </c>
      <c r="O36" s="14" t="s">
        <v>138</v>
      </c>
      <c r="P36" s="72"/>
    </row>
    <row r="37" spans="1:16" ht="15.75">
      <c r="A37" s="69" t="s">
        <v>99</v>
      </c>
      <c r="B37" s="16">
        <f>B35*COS(RADIANS(B31))</f>
        <v>66.718176075799491</v>
      </c>
      <c r="C37" s="19" t="s">
        <v>100</v>
      </c>
      <c r="D37" s="16">
        <f>$B37*2</f>
        <v>133.43635215159898</v>
      </c>
      <c r="E37" s="12"/>
      <c r="F37" s="12"/>
      <c r="G37" s="12"/>
      <c r="H37" s="12"/>
      <c r="I37" s="12"/>
      <c r="J37" s="84" t="s">
        <v>36</v>
      </c>
      <c r="K37" s="20" t="s">
        <v>37</v>
      </c>
      <c r="L37" s="56"/>
      <c r="M37" s="19"/>
      <c r="N37" s="13" t="s">
        <v>99</v>
      </c>
      <c r="O37" s="14" t="s">
        <v>138</v>
      </c>
      <c r="P37" s="72"/>
    </row>
    <row r="38" spans="1:16" ht="15.75">
      <c r="A38" s="73" t="s">
        <v>101</v>
      </c>
      <c r="B38" s="16">
        <f>TAN(RADIANS(B11))-B11*PI()/180</f>
        <v>1.4904383867336446E-2</v>
      </c>
      <c r="C38" s="12"/>
      <c r="D38" s="12"/>
      <c r="E38" s="12"/>
      <c r="F38" s="12"/>
      <c r="G38" s="12"/>
      <c r="H38" s="12"/>
      <c r="I38" s="12"/>
      <c r="J38" s="83" t="s">
        <v>38</v>
      </c>
      <c r="K38" s="20" t="s">
        <v>39</v>
      </c>
      <c r="L38" s="56"/>
      <c r="M38" s="19"/>
      <c r="N38" s="24" t="s">
        <v>103</v>
      </c>
      <c r="O38" s="57" t="s">
        <v>139</v>
      </c>
      <c r="P38" s="72"/>
    </row>
    <row r="39" spans="1:16" ht="15.75">
      <c r="A39" s="73" t="s">
        <v>102</v>
      </c>
      <c r="B39" s="16">
        <f>TAN(RADIANS(B31))-B31*PI()/180</f>
        <v>3.2170858455084828E-2</v>
      </c>
      <c r="C39" s="12"/>
      <c r="D39" s="12"/>
      <c r="E39" s="12"/>
      <c r="F39" s="12"/>
      <c r="G39" s="12"/>
      <c r="H39" s="12"/>
      <c r="I39" s="12"/>
      <c r="J39" s="84" t="s">
        <v>41</v>
      </c>
      <c r="K39" s="20" t="s">
        <v>42</v>
      </c>
      <c r="L39" s="56"/>
      <c r="M39" s="19"/>
      <c r="N39" s="13" t="s">
        <v>104</v>
      </c>
      <c r="O39" s="14" t="s">
        <v>140</v>
      </c>
      <c r="P39" s="72"/>
    </row>
    <row r="40" spans="1:16" ht="15.75">
      <c r="A40" s="70" t="s">
        <v>103</v>
      </c>
      <c r="B40" s="16">
        <f>(B10+C28)/2*(B39-B38)/TAN(RADIANS(B11))</f>
        <v>2.2770839540844356</v>
      </c>
      <c r="C40" s="12"/>
      <c r="D40" s="12"/>
      <c r="E40" s="12"/>
      <c r="F40" s="12"/>
      <c r="G40" s="12"/>
      <c r="H40" s="12"/>
      <c r="I40" s="12"/>
      <c r="J40" s="84" t="s">
        <v>43</v>
      </c>
      <c r="K40" s="14" t="s">
        <v>44</v>
      </c>
      <c r="L40" s="56"/>
      <c r="M40" s="19"/>
      <c r="N40" s="13" t="s">
        <v>105</v>
      </c>
      <c r="O40" s="14" t="s">
        <v>141</v>
      </c>
      <c r="P40" s="72"/>
    </row>
    <row r="41" spans="1:16" ht="15.75">
      <c r="A41" s="69" t="s">
        <v>104</v>
      </c>
      <c r="B41" s="45">
        <f>(C22-B30)/C27</f>
        <v>2</v>
      </c>
      <c r="C41" s="12"/>
      <c r="D41" s="12"/>
      <c r="E41" s="12"/>
      <c r="F41" s="12"/>
      <c r="G41" s="12"/>
      <c r="H41" s="12"/>
      <c r="I41" s="12"/>
      <c r="J41" s="84" t="s">
        <v>46</v>
      </c>
      <c r="K41" s="27" t="s">
        <v>47</v>
      </c>
      <c r="L41" s="56"/>
      <c r="M41" s="19"/>
      <c r="N41" s="13" t="s">
        <v>106</v>
      </c>
      <c r="O41" s="14" t="s">
        <v>142</v>
      </c>
      <c r="P41" s="72"/>
    </row>
    <row r="42" spans="1:16">
      <c r="A42" s="69" t="s">
        <v>105</v>
      </c>
      <c r="B42" s="16">
        <f>2*C27-(B40-B41)*C27</f>
        <v>3.4458320918311287</v>
      </c>
      <c r="C42" s="12"/>
      <c r="D42" s="12"/>
      <c r="E42" s="12"/>
      <c r="F42" s="12"/>
      <c r="G42" s="12"/>
      <c r="H42" s="12"/>
      <c r="I42" s="12"/>
      <c r="J42" s="83" t="s">
        <v>49</v>
      </c>
      <c r="K42" s="27" t="s">
        <v>50</v>
      </c>
      <c r="L42" s="56"/>
      <c r="M42" s="19"/>
      <c r="N42" s="13" t="s">
        <v>107</v>
      </c>
      <c r="O42" s="14" t="s">
        <v>143</v>
      </c>
      <c r="P42" s="72"/>
    </row>
    <row r="43" spans="1:16">
      <c r="A43" s="69" t="s">
        <v>106</v>
      </c>
      <c r="B43" s="16">
        <f>B34/C27-B10/2+1-F53/C27</f>
        <v>0.78620952170924507</v>
      </c>
      <c r="C43" s="12"/>
      <c r="D43" s="12"/>
      <c r="E43" s="12"/>
      <c r="F43" s="12"/>
      <c r="G43" s="12"/>
      <c r="H43" s="12"/>
      <c r="I43" s="12"/>
      <c r="J43" s="83" t="s">
        <v>51</v>
      </c>
      <c r="K43" s="14" t="s">
        <v>52</v>
      </c>
      <c r="L43" s="58"/>
      <c r="M43" s="19"/>
      <c r="N43" s="13" t="s">
        <v>108</v>
      </c>
      <c r="O43" s="14" t="s">
        <v>144</v>
      </c>
      <c r="P43" s="71"/>
    </row>
    <row r="44" spans="1:16" ht="15.75">
      <c r="A44" s="69" t="s">
        <v>107</v>
      </c>
      <c r="B44" s="16">
        <f>B40-B43</f>
        <v>1.4908744323751906</v>
      </c>
      <c r="C44" s="12"/>
      <c r="D44" s="12"/>
      <c r="E44" s="12"/>
      <c r="F44" s="12"/>
      <c r="G44" s="12"/>
      <c r="H44" s="12"/>
      <c r="I44" s="12"/>
      <c r="J44" s="84" t="s">
        <v>25</v>
      </c>
      <c r="K44" s="20" t="s">
        <v>53</v>
      </c>
      <c r="L44" s="56"/>
      <c r="M44" s="19"/>
      <c r="N44" s="13" t="s">
        <v>110</v>
      </c>
      <c r="O44" s="14" t="s">
        <v>145</v>
      </c>
      <c r="P44" s="71"/>
    </row>
    <row r="45" spans="1:16" ht="15.75">
      <c r="A45" s="69" t="s">
        <v>108</v>
      </c>
      <c r="B45" s="16">
        <f>C27/2*(B10+2+2*B43-2*(B40-B41))</f>
        <v>28.018251135249621</v>
      </c>
      <c r="C45" s="19" t="s">
        <v>109</v>
      </c>
      <c r="D45" s="41">
        <f>$B$45*2</f>
        <v>56.036502270499241</v>
      </c>
      <c r="E45" s="12"/>
      <c r="F45" s="12"/>
      <c r="G45" s="12"/>
      <c r="H45" s="12"/>
      <c r="I45" s="12"/>
      <c r="J45" s="83" t="s">
        <v>29</v>
      </c>
      <c r="K45" s="20" t="s">
        <v>54</v>
      </c>
      <c r="L45" s="56"/>
      <c r="M45" s="17"/>
      <c r="N45" s="24" t="s">
        <v>112</v>
      </c>
      <c r="O45" s="59"/>
      <c r="P45" s="72"/>
    </row>
    <row r="46" spans="1:16" ht="15.75">
      <c r="A46" s="69" t="s">
        <v>110</v>
      </c>
      <c r="B46" s="16">
        <f>C27/2*(C28+2+2*B44-2*(B40-B41))</f>
        <v>75.427580956581522</v>
      </c>
      <c r="C46" s="19" t="s">
        <v>111</v>
      </c>
      <c r="D46" s="16">
        <f>$B$46*2</f>
        <v>150.85516191316304</v>
      </c>
      <c r="E46" s="12"/>
      <c r="F46" s="12"/>
      <c r="G46" s="12"/>
      <c r="H46" s="12"/>
      <c r="I46" s="12"/>
      <c r="J46" s="83" t="s">
        <v>56</v>
      </c>
      <c r="K46" s="14" t="s">
        <v>57</v>
      </c>
      <c r="L46" s="56"/>
      <c r="M46" s="19"/>
      <c r="N46" s="24" t="s">
        <v>113</v>
      </c>
      <c r="O46" s="59"/>
      <c r="P46" s="72"/>
    </row>
    <row r="47" spans="1:16" ht="15.75">
      <c r="A47" s="70" t="s">
        <v>112</v>
      </c>
      <c r="B47" s="16">
        <f>SQRT(B46^2-B37^2)</f>
        <v>35.185294514616132</v>
      </c>
      <c r="C47" s="12"/>
      <c r="D47" s="12"/>
      <c r="E47" s="12"/>
      <c r="F47" s="12"/>
      <c r="G47" s="12"/>
      <c r="H47" s="12"/>
      <c r="I47" s="12"/>
      <c r="J47" s="83" t="s">
        <v>58</v>
      </c>
      <c r="K47" s="14" t="s">
        <v>59</v>
      </c>
      <c r="L47" s="56"/>
      <c r="M47" s="19"/>
      <c r="N47" s="24" t="s">
        <v>114</v>
      </c>
      <c r="O47" s="14" t="s">
        <v>146</v>
      </c>
      <c r="P47" s="71"/>
    </row>
    <row r="48" spans="1:16" ht="15.75">
      <c r="A48" s="70" t="s">
        <v>113</v>
      </c>
      <c r="B48" s="16">
        <f>C22*SIN(RADIANS(B31))-B47</f>
        <v>7.9663822327334302</v>
      </c>
      <c r="C48" s="12"/>
      <c r="D48" s="12"/>
      <c r="E48" s="12"/>
      <c r="F48" s="12"/>
      <c r="G48" s="12"/>
      <c r="H48" s="12"/>
      <c r="I48" s="12"/>
      <c r="J48" s="84" t="s">
        <v>60</v>
      </c>
      <c r="K48" s="14" t="s">
        <v>61</v>
      </c>
      <c r="L48" s="56"/>
      <c r="M48" s="19"/>
      <c r="N48" s="24" t="s">
        <v>116</v>
      </c>
      <c r="O48" s="59"/>
      <c r="P48" s="72"/>
    </row>
    <row r="49" spans="1:16" ht="15.75">
      <c r="A49" s="70" t="s">
        <v>114</v>
      </c>
      <c r="B49" s="46">
        <f>(B47/(B48*B29))-1</f>
        <v>0.5551837518497893</v>
      </c>
      <c r="C49" s="12"/>
      <c r="D49" s="12"/>
      <c r="E49" s="132" t="s">
        <v>117</v>
      </c>
      <c r="F49" s="47"/>
      <c r="G49" s="47" t="s">
        <v>115</v>
      </c>
      <c r="H49" s="48"/>
      <c r="I49" s="12"/>
      <c r="J49" s="83" t="s">
        <v>63</v>
      </c>
      <c r="K49" s="14" t="s">
        <v>64</v>
      </c>
      <c r="L49" s="56"/>
      <c r="M49" s="19"/>
      <c r="N49" s="24" t="s">
        <v>119</v>
      </c>
      <c r="O49" s="59"/>
      <c r="P49" s="72"/>
    </row>
    <row r="50" spans="1:16" ht="15.75" customHeight="1">
      <c r="A50" s="70" t="s">
        <v>116</v>
      </c>
      <c r="B50" s="16">
        <f>SQRT(B45^2-B36^2)</f>
        <v>15.268710102796369</v>
      </c>
      <c r="C50" s="12"/>
      <c r="D50" s="12"/>
      <c r="E50" s="133"/>
      <c r="F50" s="49"/>
      <c r="G50" s="49" t="s">
        <v>118</v>
      </c>
      <c r="H50" s="50"/>
      <c r="I50" s="12"/>
      <c r="J50" s="83" t="s">
        <v>67</v>
      </c>
      <c r="K50" s="14" t="s">
        <v>68</v>
      </c>
      <c r="L50" s="56"/>
      <c r="M50" s="19"/>
      <c r="N50" s="24" t="s">
        <v>121</v>
      </c>
      <c r="O50" s="14" t="s">
        <v>146</v>
      </c>
      <c r="P50" s="72"/>
    </row>
    <row r="51" spans="1:16" ht="15.75">
      <c r="A51" s="70" t="s">
        <v>119</v>
      </c>
      <c r="B51" s="16">
        <f>C22*SIN(RADIANS(B31))-B50</f>
        <v>27.882966644553193</v>
      </c>
      <c r="C51" s="12"/>
      <c r="D51" s="12"/>
      <c r="E51" s="134"/>
      <c r="F51" s="51" t="s">
        <v>120</v>
      </c>
      <c r="G51" s="51"/>
      <c r="H51" s="52"/>
      <c r="I51" s="12"/>
      <c r="J51" s="83" t="s">
        <v>69</v>
      </c>
      <c r="K51" s="14" t="s">
        <v>70</v>
      </c>
      <c r="L51" s="56"/>
      <c r="M51" s="19"/>
      <c r="N51" s="13" t="s">
        <v>122</v>
      </c>
      <c r="O51" s="14" t="s">
        <v>147</v>
      </c>
      <c r="P51" s="72"/>
    </row>
    <row r="52" spans="1:16" ht="15.75">
      <c r="A52" s="70" t="s">
        <v>121</v>
      </c>
      <c r="B52" s="46">
        <f>B50*B29/B51-1</f>
        <v>0.55518375231469386</v>
      </c>
      <c r="C52" s="12"/>
      <c r="D52" s="12"/>
      <c r="E52" s="117">
        <f>B49-B52</f>
        <v>-4.6490455929415475E-10</v>
      </c>
      <c r="F52" s="118"/>
      <c r="G52" s="118"/>
      <c r="H52" s="119"/>
      <c r="I52" s="12"/>
      <c r="J52" s="83" t="s">
        <v>71</v>
      </c>
      <c r="K52" s="14" t="s">
        <v>72</v>
      </c>
      <c r="L52" s="56"/>
      <c r="M52" s="44"/>
      <c r="N52" s="13" t="s">
        <v>125</v>
      </c>
      <c r="O52" s="14" t="s">
        <v>148</v>
      </c>
      <c r="P52" s="72"/>
    </row>
    <row r="53" spans="1:16">
      <c r="A53" s="69" t="s">
        <v>122</v>
      </c>
      <c r="B53" s="45">
        <f>C27*(B10-2-2*B15+2*B43)</f>
        <v>48.144838086836984</v>
      </c>
      <c r="C53" s="12"/>
      <c r="D53" s="12"/>
      <c r="E53" s="53" t="s">
        <v>123</v>
      </c>
      <c r="F53" s="54">
        <v>1.4692476232481777</v>
      </c>
      <c r="G53" s="21" t="s">
        <v>124</v>
      </c>
      <c r="H53" s="12"/>
      <c r="I53" s="12"/>
      <c r="J53" s="83" t="s">
        <v>74</v>
      </c>
      <c r="K53" s="20" t="s">
        <v>75</v>
      </c>
      <c r="L53" s="56"/>
      <c r="M53" s="44"/>
      <c r="N53" s="13" t="s">
        <v>126</v>
      </c>
      <c r="O53" s="14" t="s">
        <v>149</v>
      </c>
      <c r="P53" s="71"/>
    </row>
    <row r="54" spans="1:16" ht="15.75">
      <c r="A54" s="69" t="s">
        <v>125</v>
      </c>
      <c r="B54" s="16">
        <f>C27*(C28-2-2*B15+2*B44)</f>
        <v>142.96349772950077</v>
      </c>
      <c r="C54" s="12"/>
      <c r="D54" s="12"/>
      <c r="E54" s="12"/>
      <c r="F54" s="12"/>
      <c r="G54" s="12"/>
      <c r="H54" s="12"/>
      <c r="I54" s="12"/>
      <c r="J54" s="83" t="s">
        <v>76</v>
      </c>
      <c r="K54" s="20" t="s">
        <v>77</v>
      </c>
      <c r="L54" s="56"/>
      <c r="M54" s="17"/>
      <c r="N54" s="13" t="s">
        <v>127</v>
      </c>
      <c r="O54" s="14" t="s">
        <v>149</v>
      </c>
      <c r="P54" s="72"/>
    </row>
    <row r="55" spans="1:16">
      <c r="A55" s="69" t="s">
        <v>126</v>
      </c>
      <c r="B55" s="16">
        <f>C27*PI()/2+2*B43*C27*TAN(RADIANS(B11))</f>
        <v>4.2862201087851242</v>
      </c>
      <c r="C55" s="12"/>
      <c r="D55" s="12"/>
      <c r="E55" s="12"/>
      <c r="F55" s="12"/>
      <c r="G55" s="12"/>
      <c r="H55" s="12"/>
      <c r="I55" s="12"/>
      <c r="J55" s="83" t="s">
        <v>79</v>
      </c>
      <c r="K55" s="20" t="s">
        <v>80</v>
      </c>
      <c r="L55" s="56"/>
      <c r="M55" s="19"/>
      <c r="N55" s="13" t="s">
        <v>128</v>
      </c>
      <c r="O55" s="14" t="s">
        <v>150</v>
      </c>
      <c r="P55" s="72"/>
    </row>
    <row r="56" spans="1:16">
      <c r="A56" s="69" t="s">
        <v>127</v>
      </c>
      <c r="B56" s="16">
        <f>(C27*PI()/2+2*B44*C27*TAN(RADIANS(B11)))</f>
        <v>5.3121283192421513</v>
      </c>
      <c r="C56" s="12"/>
      <c r="D56" s="12"/>
      <c r="E56" s="12"/>
      <c r="F56" s="12"/>
      <c r="G56" s="12"/>
      <c r="H56" s="12"/>
      <c r="I56" s="12"/>
      <c r="J56" s="83" t="s">
        <v>81</v>
      </c>
      <c r="K56" s="34" t="s">
        <v>82</v>
      </c>
      <c r="L56" s="16"/>
      <c r="M56" s="19"/>
      <c r="N56" s="13" t="s">
        <v>129</v>
      </c>
      <c r="O56" s="100" t="s">
        <v>151</v>
      </c>
      <c r="P56" s="102"/>
    </row>
    <row r="57" spans="1:16">
      <c r="A57" s="69" t="s">
        <v>128</v>
      </c>
      <c r="B57" s="16">
        <f>B10/9+0.5</f>
        <v>3.2777777777777777</v>
      </c>
      <c r="C57" s="55">
        <f>ROUNDDOWN(B57,0)</f>
        <v>3</v>
      </c>
      <c r="D57" s="12"/>
      <c r="E57" s="12"/>
      <c r="F57" s="12"/>
      <c r="G57" s="12"/>
      <c r="H57" s="12"/>
      <c r="I57" s="12"/>
      <c r="J57" s="83" t="s">
        <v>83</v>
      </c>
      <c r="K57" s="34" t="s">
        <v>84</v>
      </c>
      <c r="L57" s="16"/>
      <c r="M57" s="19"/>
      <c r="N57" s="13" t="s">
        <v>130</v>
      </c>
      <c r="O57" s="100" t="s">
        <v>152</v>
      </c>
      <c r="P57" s="102"/>
    </row>
    <row r="58" spans="1:16">
      <c r="A58" s="69" t="s">
        <v>129</v>
      </c>
      <c r="B58" s="16">
        <f>((C57-0.5)*PI()+B10*B38)*C27*COS(RADIANS(B11))+2*B43*C27*SIN(RADIANS(B11))</f>
        <v>16.536532120538581</v>
      </c>
      <c r="C58" s="12"/>
      <c r="D58" s="12"/>
      <c r="E58" s="12"/>
      <c r="F58" s="12"/>
      <c r="G58" s="12"/>
      <c r="H58" s="12"/>
      <c r="I58" s="12"/>
      <c r="J58" s="83" t="s">
        <v>86</v>
      </c>
      <c r="K58" s="101" t="s">
        <v>87</v>
      </c>
      <c r="L58" s="16"/>
      <c r="M58" s="19"/>
      <c r="N58" s="13" t="s">
        <v>153</v>
      </c>
      <c r="O58" s="101" t="s">
        <v>154</v>
      </c>
      <c r="P58" s="103"/>
    </row>
    <row r="59" spans="1:16" ht="15.75" thickBot="1">
      <c r="A59" s="98" t="s">
        <v>128</v>
      </c>
      <c r="B59" s="99">
        <f>C28/9+0.5</f>
        <v>8.3888888888888893</v>
      </c>
      <c r="C59" s="55">
        <f>ROUNDDOWN(B59,0)</f>
        <v>8</v>
      </c>
      <c r="D59" s="12"/>
      <c r="E59" s="12"/>
      <c r="F59" s="12"/>
      <c r="G59" s="12"/>
      <c r="H59" s="12"/>
      <c r="I59" s="12"/>
      <c r="J59" s="85" t="s">
        <v>88</v>
      </c>
      <c r="K59" s="86" t="s">
        <v>89</v>
      </c>
      <c r="L59" s="87"/>
      <c r="M59" s="88"/>
      <c r="N59" s="87"/>
      <c r="O59" s="87"/>
      <c r="P59" s="89"/>
    </row>
    <row r="60" spans="1:16">
      <c r="A60" s="69" t="s">
        <v>130</v>
      </c>
      <c r="B60" s="16">
        <f>((C59-0.5)*PI()+C28*B38)*C27*COS(RADIANS(B11))+2*B44*C27*SIN(RADIANS(B11))</f>
        <v>48.310394473893901</v>
      </c>
      <c r="C60" s="12"/>
      <c r="D60" s="12"/>
      <c r="E60" s="12"/>
      <c r="F60" s="12"/>
      <c r="G60" s="12"/>
      <c r="H60" s="12"/>
      <c r="I60" s="12"/>
      <c r="J60" s="12"/>
      <c r="K60" s="12"/>
      <c r="L60" s="64"/>
      <c r="M60" s="64"/>
      <c r="N60" s="64"/>
      <c r="O60" s="64"/>
      <c r="P60" s="65"/>
    </row>
    <row r="61" spans="1:16" ht="15.75" thickBot="1">
      <c r="A61" s="74" t="s">
        <v>88</v>
      </c>
      <c r="B61" s="75">
        <f>((B45^2-B36^2)^(1/2)+(B46^2-B37^2)^(1/2)-C22*SIN(RADIANS(B31)))/(C27*PI()*COS(RADIANS(20)))</f>
        <v>1.2367890849522958</v>
      </c>
      <c r="C61" s="76"/>
      <c r="D61" s="76"/>
      <c r="E61" s="76"/>
      <c r="F61" s="76"/>
      <c r="G61" s="76"/>
      <c r="H61" s="76"/>
      <c r="I61" s="76"/>
      <c r="J61" s="76"/>
      <c r="K61" s="76"/>
      <c r="L61" s="77"/>
      <c r="M61" s="77"/>
      <c r="N61" s="77"/>
      <c r="O61" s="77"/>
      <c r="P61" s="78"/>
    </row>
  </sheetData>
  <mergeCells count="9">
    <mergeCell ref="E26:H28"/>
    <mergeCell ref="E32:H32"/>
    <mergeCell ref="E52:H52"/>
    <mergeCell ref="A1:C1"/>
    <mergeCell ref="E29:H29"/>
    <mergeCell ref="E30:H30"/>
    <mergeCell ref="E31:H31"/>
    <mergeCell ref="E3:F3"/>
    <mergeCell ref="E49:E51"/>
  </mergeCells>
  <conditionalFormatting sqref="E30">
    <cfRule type="containsText" dxfId="3" priority="3" stopIfTrue="1" operator="containsText" text="NEM JÓ!">
      <formula>NOT(ISERROR(SEARCH("NEM JÓ!",E30)))</formula>
    </cfRule>
    <cfRule type="containsText" dxfId="2" priority="4" stopIfTrue="1" operator="containsText" text="Megfelelő a fogszámviszony +-3 % eltérésen belül van!">
      <formula>NOT(ISERROR(SEARCH("Megfelelő a fogszámviszony +-3 % eltérésen belül van!",E30)))</formula>
    </cfRule>
  </conditionalFormatting>
  <conditionalFormatting sqref="E32">
    <cfRule type="containsText" dxfId="1" priority="1" stopIfTrue="1" operator="containsText" text="Nem jó a szög!">
      <formula>NOT(ISERROR(SEARCH("Nem jó a szög!",E32)))</formula>
    </cfRule>
    <cfRule type="containsText" dxfId="0" priority="2" stopIfTrue="1" operator="containsText" text="Megfelel a szög!">
      <formula>NOT(ISERROR(SEARCH("Megfelel a szög!",E32)))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Fogaskerek_Szamitas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2018-03-15T12:32:39Z</dcterms:created>
  <dcterms:modified xsi:type="dcterms:W3CDTF">2018-03-15T21:20:34Z</dcterms:modified>
</cp:coreProperties>
</file>